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Kamal\Desktop\"/>
    </mc:Choice>
  </mc:AlternateContent>
  <xr:revisionPtr revIDLastSave="0" documentId="13_ncr:1_{22B91180-5E59-4126-A230-90B05D16C920}" xr6:coauthVersionLast="47" xr6:coauthVersionMax="47" xr10:uidLastSave="{00000000-0000-0000-0000-000000000000}"/>
  <bookViews>
    <workbookView xWindow="-108" yWindow="-108" windowWidth="23256" windowHeight="12456" firstSheet="2" activeTab="4" xr2:uid="{47E7D9BF-2A06-104A-9666-DA56ACFE1CA9}"/>
  </bookViews>
  <sheets>
    <sheet name="User Counts" sheetId="12" r:id="rId1"/>
    <sheet name="Regional Contract w Douglas" sheetId="4" r:id="rId2"/>
    <sheet name="Regional wo Douglas" sheetId="5" r:id="rId3"/>
    <sheet name="Joint with Douglas Departure" sheetId="15" r:id="rId4"/>
    <sheet name="Accela Response" sheetId="14" r:id="rId5"/>
    <sheet name="Difference" sheetId="1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7" l="1"/>
  <c r="I4" i="17"/>
  <c r="B4" i="17"/>
  <c r="H4" i="17"/>
  <c r="G4" i="17"/>
  <c r="F4" i="17"/>
  <c r="E4" i="17"/>
  <c r="D4" i="17"/>
  <c r="C4" i="17"/>
  <c r="I52" i="14" l="1"/>
  <c r="I42" i="14"/>
  <c r="H37" i="14"/>
  <c r="H42" i="14" s="1"/>
  <c r="J32" i="14"/>
  <c r="H33" i="14" s="1"/>
  <c r="J33" i="14" s="1"/>
  <c r="J42" i="14" l="1"/>
  <c r="H47" i="14"/>
  <c r="K42" i="14"/>
  <c r="J34" i="14"/>
  <c r="J37" i="14"/>
  <c r="K37" i="14"/>
  <c r="H38" i="14" l="1"/>
  <c r="J38" i="14" s="1"/>
  <c r="J39" i="14"/>
  <c r="K47" i="14"/>
  <c r="H52" i="14"/>
  <c r="J47" i="14"/>
  <c r="H43" i="14"/>
  <c r="J43" i="14" s="1"/>
  <c r="J44" i="14" s="1"/>
  <c r="H48" i="14" l="1"/>
  <c r="J48" i="14" s="1"/>
  <c r="J49" i="14" s="1"/>
  <c r="K52" i="14"/>
  <c r="J52" i="14"/>
  <c r="H53" i="14" l="1"/>
  <c r="J53" i="14" s="1"/>
  <c r="J54" i="14" s="1"/>
  <c r="J56" i="14" s="1"/>
  <c r="Q56" i="14" l="1"/>
  <c r="Q50" i="14"/>
  <c r="Q44" i="14"/>
  <c r="Q38" i="14"/>
  <c r="E52" i="14"/>
  <c r="E47" i="14"/>
  <c r="E42" i="14"/>
  <c r="E37" i="14"/>
  <c r="E32" i="14"/>
  <c r="K6" i="14"/>
  <c r="E6" i="14"/>
  <c r="K11" i="14"/>
  <c r="C6" i="12"/>
  <c r="C5" i="12"/>
  <c r="P34" i="14"/>
  <c r="N40" i="14"/>
  <c r="P40" i="14" s="1"/>
  <c r="N38" i="14"/>
  <c r="P38" i="14" s="1"/>
  <c r="O56" i="14"/>
  <c r="O44" i="14"/>
  <c r="P32" i="14"/>
  <c r="Q32" i="14" s="1"/>
  <c r="N12" i="14"/>
  <c r="N18" i="14" s="1"/>
  <c r="Q18" i="14" s="1"/>
  <c r="B11" i="14"/>
  <c r="B16" i="14" s="1"/>
  <c r="E16" i="14" s="1"/>
  <c r="B37" i="14"/>
  <c r="D37" i="14" s="1"/>
  <c r="B38" i="14" s="1"/>
  <c r="C7" i="12"/>
  <c r="C4" i="12"/>
  <c r="C3" i="12"/>
  <c r="N14" i="14"/>
  <c r="N20" i="14" s="1"/>
  <c r="P8" i="14"/>
  <c r="O18" i="14"/>
  <c r="P6" i="14"/>
  <c r="N7" i="14" s="1"/>
  <c r="H11" i="14"/>
  <c r="H16" i="14" s="1"/>
  <c r="K16" i="14" s="1"/>
  <c r="I16" i="14"/>
  <c r="J6" i="14"/>
  <c r="H7" i="14" s="1"/>
  <c r="J7" i="14" s="1"/>
  <c r="J8" i="14" s="1"/>
  <c r="C52" i="14"/>
  <c r="C42" i="14"/>
  <c r="D32" i="14"/>
  <c r="Q12" i="14" l="1"/>
  <c r="E11" i="14"/>
  <c r="Q6" i="14"/>
  <c r="N46" i="14"/>
  <c r="N44" i="14"/>
  <c r="N50" i="14" s="1"/>
  <c r="N56" i="14" s="1"/>
  <c r="P18" i="14"/>
  <c r="N19" i="14" s="1"/>
  <c r="P19" i="14" s="1"/>
  <c r="N39" i="14"/>
  <c r="P39" i="14" s="1"/>
  <c r="P41" i="14" s="1"/>
  <c r="N33" i="14"/>
  <c r="P33" i="14" s="1"/>
  <c r="P35" i="14" s="1"/>
  <c r="B42" i="14"/>
  <c r="P14" i="14"/>
  <c r="P12" i="14"/>
  <c r="P7" i="14"/>
  <c r="P9" i="14" s="1"/>
  <c r="J11" i="14"/>
  <c r="H12" i="14" s="1"/>
  <c r="J12" i="14" s="1"/>
  <c r="J13" i="14" s="1"/>
  <c r="J16" i="14"/>
  <c r="H17" i="14" s="1"/>
  <c r="J17" i="14" s="1"/>
  <c r="J18" i="14" s="1"/>
  <c r="D38" i="14"/>
  <c r="D39" i="14" s="1"/>
  <c r="B33" i="14"/>
  <c r="D33" i="14" s="1"/>
  <c r="D34" i="14" s="1"/>
  <c r="P46" i="14" l="1"/>
  <c r="N52" i="14"/>
  <c r="P50" i="14"/>
  <c r="P56" i="14"/>
  <c r="N57" i="14" s="1"/>
  <c r="P57" i="14" s="1"/>
  <c r="P44" i="14"/>
  <c r="N51" i="14"/>
  <c r="P51" i="14" s="1"/>
  <c r="B47" i="14"/>
  <c r="B52" i="14" s="1"/>
  <c r="D42" i="14"/>
  <c r="B43" i="14" s="1"/>
  <c r="D43" i="14" s="1"/>
  <c r="D44" i="14" s="1"/>
  <c r="P20" i="14"/>
  <c r="P21" i="14" s="1"/>
  <c r="N13" i="14"/>
  <c r="P13" i="14" s="1"/>
  <c r="J20" i="14"/>
  <c r="P52" i="14" l="1"/>
  <c r="P53" i="14" s="1"/>
  <c r="N58" i="14"/>
  <c r="P58" i="14" s="1"/>
  <c r="P59" i="14" s="1"/>
  <c r="N45" i="14"/>
  <c r="P45" i="14" s="1"/>
  <c r="P47" i="14" s="1"/>
  <c r="D47" i="14"/>
  <c r="P15" i="14"/>
  <c r="P61" i="14" l="1"/>
  <c r="B48" i="14"/>
  <c r="D48" i="14" s="1"/>
  <c r="D49" i="14" s="1"/>
  <c r="D52" i="14"/>
  <c r="B53" i="14" s="1"/>
  <c r="D53" i="14" s="1"/>
  <c r="D54" i="14" s="1"/>
  <c r="P23" i="14"/>
  <c r="D56" i="14" l="1"/>
  <c r="J30" i="15" l="1"/>
  <c r="H21" i="15"/>
  <c r="I26" i="15"/>
  <c r="H26" i="15"/>
  <c r="J26" i="15" s="1"/>
  <c r="J21" i="15"/>
  <c r="I16" i="15"/>
  <c r="H16" i="15"/>
  <c r="J11" i="15"/>
  <c r="J6" i="15"/>
  <c r="C16" i="15"/>
  <c r="B16" i="15"/>
  <c r="D16" i="15" s="1"/>
  <c r="D11" i="15"/>
  <c r="D6" i="15"/>
  <c r="C16" i="14"/>
  <c r="D16" i="14" s="1"/>
  <c r="B17" i="14" s="1"/>
  <c r="D11" i="14"/>
  <c r="D6" i="14"/>
  <c r="B7" i="14" s="1"/>
  <c r="D7" i="14" s="1"/>
  <c r="D8" i="14" l="1"/>
  <c r="J16" i="15"/>
  <c r="H22" i="15"/>
  <c r="H12" i="15"/>
  <c r="H7" i="15"/>
  <c r="J7" i="15" s="1"/>
  <c r="J8" i="15" s="1"/>
  <c r="B12" i="15"/>
  <c r="B7" i="15"/>
  <c r="D7" i="15" s="1"/>
  <c r="D8" i="15" s="1"/>
  <c r="B12" i="14"/>
  <c r="H27" i="15" l="1"/>
  <c r="J27" i="15" s="1"/>
  <c r="J28" i="15" s="1"/>
  <c r="J22" i="15"/>
  <c r="J23" i="15" s="1"/>
  <c r="H17" i="15"/>
  <c r="J17" i="15" s="1"/>
  <c r="J18" i="15" s="1"/>
  <c r="J12" i="15"/>
  <c r="J13" i="15" s="1"/>
  <c r="B17" i="15"/>
  <c r="D17" i="15" s="1"/>
  <c r="D18" i="15" s="1"/>
  <c r="D12" i="15"/>
  <c r="D13" i="15" s="1"/>
  <c r="D12" i="14"/>
  <c r="D13" i="14" s="1"/>
  <c r="D17" i="14"/>
  <c r="D18" i="14" l="1"/>
  <c r="D20" i="15"/>
  <c r="D20" i="14" l="1"/>
  <c r="B8" i="12" l="1"/>
  <c r="D5" i="4"/>
  <c r="D6" i="4"/>
  <c r="D7" i="4"/>
  <c r="D8" i="4"/>
  <c r="W34" i="5"/>
  <c r="W39" i="5"/>
  <c r="W29" i="5"/>
  <c r="W24" i="5"/>
  <c r="D9" i="5"/>
  <c r="B10" i="5" s="1"/>
  <c r="D10" i="5" s="1"/>
  <c r="D11" i="5" s="1"/>
  <c r="I9" i="5"/>
  <c r="G10" i="5" s="1"/>
  <c r="M9" i="5"/>
  <c r="M14" i="5" s="1"/>
  <c r="N9" i="5"/>
  <c r="L10" i="5" s="1"/>
  <c r="R9" i="5"/>
  <c r="S9" i="5" s="1"/>
  <c r="W9" i="5"/>
  <c r="X9" i="5" s="1"/>
  <c r="V10" i="5" s="1"/>
  <c r="V15" i="5" s="1"/>
  <c r="X15" i="5" s="1"/>
  <c r="G14" i="5"/>
  <c r="H14" i="5"/>
  <c r="R14" i="5" s="1"/>
  <c r="L14" i="5"/>
  <c r="L19" i="5" s="1"/>
  <c r="L24" i="5" s="1"/>
  <c r="Q14" i="5"/>
  <c r="V14" i="5"/>
  <c r="V19" i="5" s="1"/>
  <c r="W14" i="5"/>
  <c r="X14" i="5" s="1"/>
  <c r="H19" i="5"/>
  <c r="R19" i="5" s="1"/>
  <c r="W19" i="5"/>
  <c r="AB34" i="4"/>
  <c r="AB39" i="4"/>
  <c r="AB29" i="4"/>
  <c r="AB24" i="4"/>
  <c r="I9" i="4"/>
  <c r="G10" i="4" s="1"/>
  <c r="I10" i="4" s="1"/>
  <c r="I11" i="4" s="1"/>
  <c r="N9" i="4"/>
  <c r="L10" i="4" s="1"/>
  <c r="R9" i="4"/>
  <c r="S9" i="4" s="1"/>
  <c r="W9" i="4"/>
  <c r="X9" i="4" s="1"/>
  <c r="V10" i="4" s="1"/>
  <c r="AB9" i="4"/>
  <c r="AC9" i="4" s="1"/>
  <c r="L14" i="4"/>
  <c r="M14" i="4"/>
  <c r="M19" i="4" s="1"/>
  <c r="W19" i="4" s="1"/>
  <c r="W24" i="4" s="1"/>
  <c r="W29" i="4" s="1"/>
  <c r="W34" i="4" s="1"/>
  <c r="W39" i="4" s="1"/>
  <c r="Q14" i="4"/>
  <c r="Q19" i="4" s="1"/>
  <c r="V14" i="4"/>
  <c r="AA14" i="4"/>
  <c r="AB14" i="4"/>
  <c r="AB19" i="4"/>
  <c r="D9" i="4" l="1"/>
  <c r="X16" i="5"/>
  <c r="W14" i="4"/>
  <c r="X14" i="4" s="1"/>
  <c r="V24" i="5"/>
  <c r="X19" i="5"/>
  <c r="I10" i="5"/>
  <c r="I11" i="5" s="1"/>
  <c r="G15" i="5"/>
  <c r="G20" i="5" s="1"/>
  <c r="I20" i="5" s="1"/>
  <c r="S14" i="5"/>
  <c r="I14" i="5"/>
  <c r="X10" i="5"/>
  <c r="X11" i="5" s="1"/>
  <c r="Q19" i="5"/>
  <c r="Q24" i="5" s="1"/>
  <c r="Q29" i="5" s="1"/>
  <c r="Q34" i="5" s="1"/>
  <c r="Q39" i="5" s="1"/>
  <c r="I15" i="5"/>
  <c r="N10" i="5"/>
  <c r="N11" i="5" s="1"/>
  <c r="L15" i="5"/>
  <c r="L29" i="5"/>
  <c r="R24" i="5"/>
  <c r="R29" i="5" s="1"/>
  <c r="M24" i="5"/>
  <c r="N24" i="5" s="1"/>
  <c r="N14" i="5"/>
  <c r="X24" i="5"/>
  <c r="V29" i="5"/>
  <c r="G19" i="5"/>
  <c r="I19" i="5" s="1"/>
  <c r="V20" i="5"/>
  <c r="Q10" i="5"/>
  <c r="M19" i="5"/>
  <c r="AC14" i="4"/>
  <c r="AA19" i="4"/>
  <c r="AA24" i="4" s="1"/>
  <c r="N14" i="4"/>
  <c r="V19" i="4"/>
  <c r="V24" i="4" s="1"/>
  <c r="X24" i="4" s="1"/>
  <c r="AA29" i="4"/>
  <c r="AC24" i="4"/>
  <c r="AA10" i="4"/>
  <c r="V15" i="4"/>
  <c r="X10" i="4"/>
  <c r="X11" i="4" s="1"/>
  <c r="Q24" i="4"/>
  <c r="Q10" i="4"/>
  <c r="N10" i="4"/>
  <c r="N11" i="4" s="1"/>
  <c r="L15" i="4"/>
  <c r="L19" i="4"/>
  <c r="N19" i="4" s="1"/>
  <c r="R14" i="4"/>
  <c r="R19" i="4"/>
  <c r="R29" i="4" s="1"/>
  <c r="X19" i="4" l="1"/>
  <c r="V29" i="4"/>
  <c r="X29" i="4" s="1"/>
  <c r="AC19" i="4"/>
  <c r="R24" i="4"/>
  <c r="S24" i="4" s="1"/>
  <c r="S14" i="4"/>
  <c r="I16" i="5"/>
  <c r="I21" i="5"/>
  <c r="S19" i="5"/>
  <c r="I23" i="5"/>
  <c r="V34" i="5"/>
  <c r="X29" i="5"/>
  <c r="R34" i="5"/>
  <c r="S29" i="5"/>
  <c r="M29" i="5"/>
  <c r="N29" i="5" s="1"/>
  <c r="N19" i="5"/>
  <c r="S24" i="5"/>
  <c r="S10" i="5"/>
  <c r="S11" i="5" s="1"/>
  <c r="Q15" i="5"/>
  <c r="V25" i="5"/>
  <c r="X20" i="5"/>
  <c r="X21" i="5" s="1"/>
  <c r="L20" i="5"/>
  <c r="N15" i="5"/>
  <c r="N16" i="5" s="1"/>
  <c r="S10" i="4"/>
  <c r="S11" i="4" s="1"/>
  <c r="Q15" i="4"/>
  <c r="AA15" i="4"/>
  <c r="AC10" i="4"/>
  <c r="AC11" i="4" s="1"/>
  <c r="S19" i="4"/>
  <c r="AC29" i="4"/>
  <c r="AA34" i="4"/>
  <c r="Q29" i="4"/>
  <c r="S29" i="4" s="1"/>
  <c r="X15" i="4"/>
  <c r="X16" i="4" s="1"/>
  <c r="V20" i="4"/>
  <c r="L20" i="4"/>
  <c r="N20" i="4" s="1"/>
  <c r="N21" i="4" s="1"/>
  <c r="N15" i="4"/>
  <c r="N16" i="4" s="1"/>
  <c r="V34" i="4" l="1"/>
  <c r="N23" i="4"/>
  <c r="L25" i="5"/>
  <c r="N20" i="5"/>
  <c r="R39" i="5"/>
  <c r="S39" i="5" s="1"/>
  <c r="S34" i="5"/>
  <c r="V30" i="5"/>
  <c r="X25" i="5"/>
  <c r="X26" i="5" s="1"/>
  <c r="V39" i="5"/>
  <c r="X39" i="5" s="1"/>
  <c r="X34" i="5"/>
  <c r="Q20" i="5"/>
  <c r="S15" i="5"/>
  <c r="S16" i="5" s="1"/>
  <c r="N21" i="5"/>
  <c r="AA39" i="4"/>
  <c r="AC39" i="4" s="1"/>
  <c r="AC34" i="4"/>
  <c r="AA20" i="4"/>
  <c r="AC15" i="4"/>
  <c r="AC16" i="4" s="1"/>
  <c r="V25" i="4"/>
  <c r="X20" i="4"/>
  <c r="X21" i="4" s="1"/>
  <c r="S15" i="4"/>
  <c r="S16" i="4" s="1"/>
  <c r="Q20" i="4"/>
  <c r="V39" i="4"/>
  <c r="X39" i="4" s="1"/>
  <c r="X34" i="4"/>
  <c r="N39" i="5" l="1"/>
  <c r="X30" i="5"/>
  <c r="X31" i="5" s="1"/>
  <c r="V35" i="5"/>
  <c r="S20" i="5"/>
  <c r="S21" i="5" s="1"/>
  <c r="Q25" i="5"/>
  <c r="L30" i="5"/>
  <c r="N30" i="5" s="1"/>
  <c r="N31" i="5" s="1"/>
  <c r="N25" i="5"/>
  <c r="N26" i="5" s="1"/>
  <c r="N33" i="5" s="1"/>
  <c r="AA25" i="4"/>
  <c r="AC20" i="4"/>
  <c r="AC21" i="4" s="1"/>
  <c r="Q25" i="4"/>
  <c r="S20" i="4"/>
  <c r="S21" i="4" s="1"/>
  <c r="X25" i="4"/>
  <c r="X26" i="4" s="1"/>
  <c r="V30" i="4"/>
  <c r="Q30" i="5" l="1"/>
  <c r="S25" i="5"/>
  <c r="S26" i="5" s="1"/>
  <c r="X35" i="5"/>
  <c r="X36" i="5" s="1"/>
  <c r="V40" i="5"/>
  <c r="X40" i="5" s="1"/>
  <c r="X41" i="5" s="1"/>
  <c r="AA30" i="4"/>
  <c r="AC25" i="4"/>
  <c r="AC26" i="4" s="1"/>
  <c r="V35" i="4"/>
  <c r="X30" i="4"/>
  <c r="X31" i="4" s="1"/>
  <c r="Q30" i="4"/>
  <c r="S30" i="4" s="1"/>
  <c r="S31" i="4" s="1"/>
  <c r="S25" i="4"/>
  <c r="S26" i="4" s="1"/>
  <c r="S39" i="4"/>
  <c r="X43" i="5" l="1"/>
  <c r="S30" i="5"/>
  <c r="S31" i="5" s="1"/>
  <c r="Q35" i="5"/>
  <c r="S33" i="4"/>
  <c r="X35" i="4"/>
  <c r="X36" i="4" s="1"/>
  <c r="V40" i="4"/>
  <c r="X40" i="4" s="1"/>
  <c r="X41" i="4" s="1"/>
  <c r="AA35" i="4"/>
  <c r="AC30" i="4"/>
  <c r="AC31" i="4" s="1"/>
  <c r="X43" i="4" l="1"/>
  <c r="S35" i="5"/>
  <c r="S36" i="5" s="1"/>
  <c r="Q40" i="5"/>
  <c r="S40" i="5" s="1"/>
  <c r="S41" i="5" s="1"/>
  <c r="S43" i="5" s="1"/>
  <c r="AC35" i="4"/>
  <c r="AC36" i="4" s="1"/>
  <c r="AA40" i="4"/>
  <c r="AC40" i="4" s="1"/>
  <c r="AC41" i="4" s="1"/>
  <c r="AC43" i="4" l="1"/>
</calcChain>
</file>

<file path=xl/sharedStrings.xml><?xml version="1.0" encoding="utf-8"?>
<sst xmlns="http://schemas.openxmlformats.org/spreadsheetml/2006/main" count="499" uniqueCount="70">
  <si>
    <t>Option A: 1 Year Cloud</t>
  </si>
  <si>
    <t>Option B: 3 Year Cloud</t>
  </si>
  <si>
    <t xml:space="preserve">Option C: 5 Year Cloud </t>
  </si>
  <si>
    <t xml:space="preserve">Option D: 7 Year Cloud </t>
  </si>
  <si>
    <t>Price</t>
  </si>
  <si>
    <t>Quantity</t>
  </si>
  <si>
    <t>Total</t>
  </si>
  <si>
    <t xml:space="preserve">Year 1 </t>
  </si>
  <si>
    <t>Cloud MultiApp</t>
  </si>
  <si>
    <t>ERD</t>
  </si>
  <si>
    <t>Washoe County Contract Renewal 2025</t>
  </si>
  <si>
    <t>Current Contract: Legacy SKUs</t>
  </si>
  <si>
    <t>Option E: 7 Year Cloud with 2 Years Upfront</t>
  </si>
  <si>
    <t>Support and Maintenance, Hosting, Upgrades, Mobile, GIS, ACA Included</t>
  </si>
  <si>
    <t>Quote Valid Through 6/30/2025 and Based on SKUs and Quantities Below</t>
  </si>
  <si>
    <t>Accela Automation - Subscription User</t>
  </si>
  <si>
    <t>Accela Mobile Add On - Subscription User</t>
  </si>
  <si>
    <t>Enhanced Reporting Database (ERD)</t>
  </si>
  <si>
    <t>Accela Citizen Acces - Subscription Population Renewal (Population 491,127)</t>
  </si>
  <si>
    <t>Year 2</t>
  </si>
  <si>
    <t>Year 3</t>
  </si>
  <si>
    <t>Year 4</t>
  </si>
  <si>
    <t>Year 5</t>
  </si>
  <si>
    <t>Year 6</t>
  </si>
  <si>
    <t>Year 7</t>
  </si>
  <si>
    <t>3 Year Savings over Option A</t>
  </si>
  <si>
    <t>Washoe County Contract Renewal 2025 without Douglas County</t>
  </si>
  <si>
    <t>Support and Maintenance, Hosting, Upgrades, Mobile, GIS, ACA, ERD Included</t>
  </si>
  <si>
    <t>`</t>
  </si>
  <si>
    <t>Washoe Superagency User Counts</t>
  </si>
  <si>
    <t xml:space="preserve">Douglas </t>
  </si>
  <si>
    <t>Health</t>
  </si>
  <si>
    <t xml:space="preserve">Reno </t>
  </si>
  <si>
    <t xml:space="preserve">Sparks </t>
  </si>
  <si>
    <t>Washoe</t>
  </si>
  <si>
    <t>3 or 5 year proposed licensing</t>
  </si>
  <si>
    <t>Accela having monthly workshops with deliverables to track and address pain points, bugs and issues with proposed project plan and ETA. </t>
  </si>
  <si>
    <t>OpenCounter at no cost to all agencies to address deficiencies on ACA since 2016</t>
  </si>
  <si>
    <t>Capping the annual maintenance increases at CPI index or max 5% once we taper down annual fee increases after the term of the agreement.</t>
  </si>
  <si>
    <t>Opportunity to true down user counts. </t>
  </si>
  <si>
    <t>Giving a years notice before end of renewal term of what new renewal costs will be in order to prepare for upcoming budget cycle. </t>
  </si>
  <si>
    <t>25% increase in 3 year or 15% increase in 5 year if Accela promises around ACA and Open Counter is actually  delivered.</t>
  </si>
  <si>
    <t>Washoe, Health, Sparks, Reno Joint Contract - Douglas Churn - 3 Year</t>
  </si>
  <si>
    <t>Washoe, Health, Sparks, Reno Joint Contract - Douglas Churn - 5 Year</t>
  </si>
  <si>
    <t>Open Counter</t>
  </si>
  <si>
    <t>Option A: Washoe, Health, Sparks, Reno Joint Contract - 3 Years Ramped</t>
  </si>
  <si>
    <t>Option B: Washoe, Health, Sparks, Reno Joint Contract - 3 Years Linear</t>
  </si>
  <si>
    <t>Option D: Washoe, Health, Sparks, Reno Joint Contract - 5 Years Ramped</t>
  </si>
  <si>
    <t>Option C: Washoe, Health, Sparks, Reno Joint Contract - 3 Years Ramped with Open Counter</t>
  </si>
  <si>
    <t>Option E: Washoe, Health, Sparks, Reno Joint Contract - 5 Years Linear</t>
  </si>
  <si>
    <t>Option F: Washoe, Health, Sparks, Reno Joint Contract - 5 Years Ramped with Open Counter</t>
  </si>
  <si>
    <t>Professional Services</t>
  </si>
  <si>
    <t>%</t>
  </si>
  <si>
    <t>Yes</t>
  </si>
  <si>
    <t>Less than list</t>
  </si>
  <si>
    <t>No</t>
  </si>
  <si>
    <t>Optional years</t>
  </si>
  <si>
    <t>Addressed in monthly workshops</t>
  </si>
  <si>
    <t>Original Accela Quote</t>
  </si>
  <si>
    <t>Accela Response</t>
  </si>
  <si>
    <t>Difference</t>
  </si>
  <si>
    <t>3 Year Ramped</t>
  </si>
  <si>
    <t>3 Year Linear</t>
  </si>
  <si>
    <t>3 Year Ramped with Open Counter</t>
  </si>
  <si>
    <t>5 Year Ramped</t>
  </si>
  <si>
    <t>5 Year Linear</t>
  </si>
  <si>
    <t>5 Year Ramped with Open Counter</t>
  </si>
  <si>
    <t xml:space="preserve">1 Year </t>
  </si>
  <si>
    <t>7 Year with Douglas</t>
  </si>
  <si>
    <t>7 Year without Douglas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</si>
</sst>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  <numFmt numFmtId="167" formatCode="&quot;$&quot;#,##0.0000"/>
    <numFmt numFmtId="169" formatCode="#,##0.000"/>
    <numFmt numFmtId="170" formatCode="0.0%"/>
  </numFmts>
  <fonts count="24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 (Body)"/>
    </font>
    <font>
      <sz val="11"/>
      <color theme="1"/>
      <name val="Calibri"/>
      <family val="2"/>
    </font>
    <font>
      <sz val="11"/>
      <color theme="1"/>
      <name val="Arial"/>
      <family val="2"/>
    </font>
    <font>
      <i/>
      <sz val="11"/>
      <color theme="1"/>
      <name val="Aptos Narrow"/>
      <family val="2"/>
      <scheme val="minor"/>
    </font>
    <font>
      <sz val="11"/>
      <color theme="2" tint="-0.499984740745262"/>
      <name val="Calibri"/>
      <family val="2"/>
    </font>
    <font>
      <sz val="11"/>
      <color rgb="FF000000"/>
      <name val="Aptos Narrow"/>
      <family val="2"/>
      <scheme val="minor"/>
    </font>
    <font>
      <b/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i/>
      <sz val="11"/>
      <color theme="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ptos Narrow"/>
    </font>
    <font>
      <sz val="12"/>
      <color rgb="FF000000"/>
      <name val="Aptos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8" fontId="6" fillId="0" borderId="0" xfId="0" applyNumberFormat="1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0" borderId="0" xfId="0" applyFont="1"/>
    <xf numFmtId="8" fontId="0" fillId="0" borderId="0" xfId="0" applyNumberFormat="1"/>
    <xf numFmtId="8" fontId="4" fillId="0" borderId="0" xfId="0" applyNumberFormat="1" applyFont="1"/>
    <xf numFmtId="165" fontId="6" fillId="0" borderId="0" xfId="0" applyNumberFormat="1" applyFont="1"/>
    <xf numFmtId="164" fontId="9" fillId="0" borderId="0" xfId="0" applyNumberFormat="1" applyFont="1"/>
    <xf numFmtId="165" fontId="0" fillId="0" borderId="0" xfId="0" applyNumberForma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165" fontId="12" fillId="0" borderId="0" xfId="0" applyNumberFormat="1" applyFont="1"/>
    <xf numFmtId="1" fontId="12" fillId="0" borderId="0" xfId="0" applyNumberFormat="1" applyFont="1"/>
    <xf numFmtId="1" fontId="6" fillId="0" borderId="0" xfId="0" applyNumberFormat="1" applyFont="1"/>
    <xf numFmtId="44" fontId="6" fillId="0" borderId="0" xfId="1" applyFont="1"/>
    <xf numFmtId="0" fontId="12" fillId="0" borderId="0" xfId="0" applyFont="1"/>
    <xf numFmtId="166" fontId="12" fillId="0" borderId="0" xfId="1" applyNumberFormat="1" applyFont="1"/>
    <xf numFmtId="0" fontId="13" fillId="0" borderId="0" xfId="0" applyFont="1"/>
    <xf numFmtId="164" fontId="0" fillId="0" borderId="0" xfId="0" applyNumberFormat="1"/>
    <xf numFmtId="6" fontId="6" fillId="0" borderId="0" xfId="0" applyNumberFormat="1" applyFont="1"/>
    <xf numFmtId="0" fontId="2" fillId="0" borderId="0" xfId="0" applyFont="1"/>
    <xf numFmtId="0" fontId="14" fillId="0" borderId="0" xfId="0" applyFont="1"/>
    <xf numFmtId="165" fontId="14" fillId="0" borderId="0" xfId="0" applyNumberFormat="1" applyFont="1"/>
    <xf numFmtId="44" fontId="0" fillId="0" borderId="0" xfId="1" applyFont="1"/>
    <xf numFmtId="165" fontId="0" fillId="0" borderId="0" xfId="1" applyNumberFormat="1" applyFont="1"/>
    <xf numFmtId="164" fontId="0" fillId="0" borderId="0" xfId="1" applyNumberFormat="1" applyFont="1"/>
    <xf numFmtId="8" fontId="12" fillId="0" borderId="0" xfId="0" applyNumberFormat="1" applyFont="1"/>
    <xf numFmtId="167" fontId="7" fillId="0" borderId="0" xfId="0" applyNumberFormat="1" applyFont="1"/>
    <xf numFmtId="167" fontId="0" fillId="0" borderId="0" xfId="0" applyNumberForma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9" fontId="0" fillId="0" borderId="0" xfId="0" applyNumberFormat="1"/>
    <xf numFmtId="8" fontId="23" fillId="0" borderId="0" xfId="0" applyNumberFormat="1" applyFont="1"/>
    <xf numFmtId="10" fontId="0" fillId="0" borderId="0" xfId="0" applyNumberFormat="1"/>
    <xf numFmtId="169" fontId="0" fillId="0" borderId="0" xfId="0" applyNumberFormat="1"/>
    <xf numFmtId="0" fontId="23" fillId="0" borderId="0" xfId="0" applyFont="1"/>
    <xf numFmtId="6" fontId="0" fillId="0" borderId="0" xfId="0" applyNumberFormat="1"/>
    <xf numFmtId="170" fontId="0" fillId="0" borderId="0" xfId="0" applyNumberFormat="1"/>
    <xf numFmtId="0" fontId="0" fillId="0" borderId="1" xfId="0" applyBorder="1"/>
    <xf numFmtId="8" fontId="6" fillId="0" borderId="1" xfId="0" applyNumberFormat="1" applyFont="1" applyBorder="1"/>
    <xf numFmtId="165" fontId="0" fillId="0" borderId="1" xfId="0" applyNumberFormat="1" applyBorder="1"/>
    <xf numFmtId="8" fontId="0" fillId="0" borderId="1" xfId="0" applyNumberFormat="1" applyBorder="1"/>
    <xf numFmtId="0" fontId="15" fillId="0" borderId="2" xfId="0" applyFont="1" applyBorder="1"/>
    <xf numFmtId="0" fontId="0" fillId="0" borderId="1" xfId="0" applyFill="1" applyBorder="1"/>
    <xf numFmtId="8" fontId="0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FBA73-8D52-F24F-BE81-758B799C07C2}">
  <dimension ref="A1:C8"/>
  <sheetViews>
    <sheetView zoomScale="244" workbookViewId="0">
      <selection activeCell="D6" sqref="D6"/>
    </sheetView>
  </sheetViews>
  <sheetFormatPr defaultColWidth="11.19921875" defaultRowHeight="15.6"/>
  <sheetData>
    <row r="1" spans="1:3">
      <c r="A1" s="37" t="s">
        <v>29</v>
      </c>
    </row>
    <row r="3" spans="1:3">
      <c r="A3" t="s">
        <v>30</v>
      </c>
      <c r="B3">
        <v>63</v>
      </c>
      <c r="C3">
        <f>B3/B8</f>
        <v>0.11517367458866545</v>
      </c>
    </row>
    <row r="4" spans="1:3">
      <c r="A4" t="s">
        <v>31</v>
      </c>
      <c r="B4">
        <v>75</v>
      </c>
      <c r="C4">
        <f>B4/B8</f>
        <v>0.13711151736745886</v>
      </c>
    </row>
    <row r="5" spans="1:3">
      <c r="A5" t="s">
        <v>32</v>
      </c>
      <c r="B5">
        <v>199</v>
      </c>
      <c r="C5">
        <f>B5/B8</f>
        <v>0.36380255941499084</v>
      </c>
    </row>
    <row r="6" spans="1:3">
      <c r="A6" t="s">
        <v>33</v>
      </c>
      <c r="B6">
        <v>79</v>
      </c>
      <c r="C6">
        <f>B6/B8</f>
        <v>0.14442413162705667</v>
      </c>
    </row>
    <row r="7" spans="1:3">
      <c r="A7" t="s">
        <v>34</v>
      </c>
      <c r="B7">
        <v>131</v>
      </c>
      <c r="C7">
        <f>B7/B8</f>
        <v>0.23948811700182815</v>
      </c>
    </row>
    <row r="8" spans="1:3">
      <c r="A8" t="s">
        <v>6</v>
      </c>
      <c r="B8">
        <f>SUM(B3:B7)</f>
        <v>547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A536-5EC5-431E-BEFD-062704DA2426}">
  <dimension ref="A1:AC45"/>
  <sheetViews>
    <sheetView topLeftCell="M27" zoomScale="94" workbookViewId="0">
      <selection activeCell="X43" sqref="X43"/>
    </sheetView>
  </sheetViews>
  <sheetFormatPr defaultColWidth="11" defaultRowHeight="15.75" customHeight="1"/>
  <cols>
    <col min="1" max="1" width="58.19921875" customWidth="1"/>
    <col min="4" max="4" width="14.5" customWidth="1"/>
    <col min="6" max="6" width="13" customWidth="1"/>
    <col min="9" max="9" width="15" customWidth="1"/>
    <col min="13" max="13" width="16.796875" customWidth="1"/>
    <col min="14" max="14" width="15.69921875" bestFit="1" customWidth="1"/>
    <col min="18" max="19" width="13.19921875" bestFit="1" customWidth="1"/>
    <col min="23" max="23" width="13.296875" bestFit="1" customWidth="1"/>
    <col min="24" max="24" width="13.19921875" bestFit="1" customWidth="1"/>
    <col min="26" max="26" width="19.69921875" customWidth="1"/>
    <col min="29" max="29" width="13.19921875" bestFit="1" customWidth="1"/>
  </cols>
  <sheetData>
    <row r="1" spans="1:29" ht="15.6">
      <c r="A1" s="1" t="s">
        <v>10</v>
      </c>
      <c r="N1" s="2"/>
    </row>
    <row r="2" spans="1:29" ht="17.399999999999999">
      <c r="P2" s="3"/>
    </row>
    <row r="3" spans="1:29" ht="15.6">
      <c r="A3" s="1" t="s">
        <v>11</v>
      </c>
      <c r="F3" s="2" t="s">
        <v>0</v>
      </c>
      <c r="J3" s="4"/>
      <c r="K3" s="2" t="s">
        <v>1</v>
      </c>
      <c r="O3" s="4"/>
      <c r="P3" s="2" t="s">
        <v>2</v>
      </c>
      <c r="U3" s="2" t="s">
        <v>3</v>
      </c>
      <c r="Z3" s="2" t="s">
        <v>12</v>
      </c>
    </row>
    <row r="4" spans="1:29" ht="15.6">
      <c r="A4" s="2"/>
      <c r="B4" s="7" t="s">
        <v>4</v>
      </c>
      <c r="C4" s="7" t="s">
        <v>5</v>
      </c>
      <c r="D4" s="7" t="s">
        <v>6</v>
      </c>
      <c r="F4" s="6" t="s">
        <v>13</v>
      </c>
      <c r="J4" s="4"/>
      <c r="K4" s="6" t="s">
        <v>13</v>
      </c>
      <c r="O4" s="4"/>
      <c r="P4" s="6" t="s">
        <v>13</v>
      </c>
      <c r="U4" s="6" t="s">
        <v>13</v>
      </c>
      <c r="Z4" s="6" t="s">
        <v>13</v>
      </c>
    </row>
    <row r="5" spans="1:29" ht="15.6">
      <c r="A5" s="10" t="s">
        <v>15</v>
      </c>
      <c r="B5" s="4">
        <v>1077.45</v>
      </c>
      <c r="C5" s="10">
        <v>547</v>
      </c>
      <c r="D5" s="9">
        <f>B5*C5</f>
        <v>589365.15</v>
      </c>
      <c r="F5" s="39" t="s">
        <v>14</v>
      </c>
      <c r="J5" s="4"/>
      <c r="K5" s="39" t="s">
        <v>14</v>
      </c>
      <c r="O5" s="4"/>
      <c r="P5" s="39" t="s">
        <v>14</v>
      </c>
      <c r="T5" s="8"/>
      <c r="U5" s="39" t="s">
        <v>14</v>
      </c>
      <c r="Y5" s="8"/>
      <c r="Z5" s="39" t="s">
        <v>14</v>
      </c>
    </row>
    <row r="6" spans="1:29" ht="15.6">
      <c r="A6" s="10" t="s">
        <v>16</v>
      </c>
      <c r="B6" s="4">
        <v>614.04999999999995</v>
      </c>
      <c r="C6" s="10">
        <v>171</v>
      </c>
      <c r="D6" s="9">
        <f>B6*C6</f>
        <v>105002.54999999999</v>
      </c>
      <c r="F6" s="6"/>
      <c r="J6" s="4"/>
      <c r="K6" s="6"/>
      <c r="O6" s="4"/>
      <c r="T6" s="8"/>
      <c r="Y6" s="8"/>
    </row>
    <row r="7" spans="1:29" ht="15.6">
      <c r="A7" s="10" t="s">
        <v>17</v>
      </c>
      <c r="B7" s="4">
        <v>46050.27</v>
      </c>
      <c r="C7" s="10">
        <v>1</v>
      </c>
      <c r="D7" s="9">
        <f>B7*C7</f>
        <v>46050.27</v>
      </c>
      <c r="F7" s="8"/>
      <c r="G7" s="7" t="s">
        <v>4</v>
      </c>
      <c r="H7" s="7" t="s">
        <v>5</v>
      </c>
      <c r="I7" s="7" t="s">
        <v>6</v>
      </c>
      <c r="J7" s="4"/>
      <c r="K7" s="8"/>
      <c r="L7" s="7" t="s">
        <v>4</v>
      </c>
      <c r="M7" s="7" t="s">
        <v>5</v>
      </c>
      <c r="N7" s="7" t="s">
        <v>6</v>
      </c>
      <c r="O7" s="4"/>
      <c r="P7" s="8"/>
      <c r="Q7" s="7" t="s">
        <v>4</v>
      </c>
      <c r="R7" s="7" t="s">
        <v>5</v>
      </c>
      <c r="S7" s="7" t="s">
        <v>6</v>
      </c>
      <c r="T7" s="11"/>
      <c r="U7" s="8"/>
      <c r="V7" s="7" t="s">
        <v>4</v>
      </c>
      <c r="W7" s="7" t="s">
        <v>5</v>
      </c>
      <c r="X7" s="7" t="s">
        <v>6</v>
      </c>
      <c r="Z7" s="8"/>
      <c r="AA7" s="7" t="s">
        <v>4</v>
      </c>
      <c r="AB7" s="7" t="s">
        <v>5</v>
      </c>
      <c r="AC7" s="7" t="s">
        <v>6</v>
      </c>
    </row>
    <row r="8" spans="1:29" ht="15.6">
      <c r="A8" s="10" t="s">
        <v>18</v>
      </c>
      <c r="B8" s="4">
        <v>18052.57</v>
      </c>
      <c r="C8" s="10">
        <v>1</v>
      </c>
      <c r="D8" s="9">
        <f>B8*C8</f>
        <v>18052.57</v>
      </c>
      <c r="F8" s="12" t="s">
        <v>7</v>
      </c>
      <c r="G8" s="4"/>
      <c r="J8" s="4"/>
      <c r="K8" s="12" t="s">
        <v>7</v>
      </c>
      <c r="L8" s="4"/>
      <c r="O8" s="4"/>
      <c r="P8" s="12" t="s">
        <v>7</v>
      </c>
      <c r="Q8" s="4"/>
      <c r="T8" s="11"/>
      <c r="U8" s="12" t="s">
        <v>7</v>
      </c>
      <c r="V8" s="4"/>
      <c r="Z8" s="12" t="s">
        <v>7</v>
      </c>
      <c r="AA8" s="4"/>
    </row>
    <row r="9" spans="1:29" ht="15.6">
      <c r="A9" s="2" t="s">
        <v>6</v>
      </c>
      <c r="B9" s="4"/>
      <c r="D9" s="9">
        <f>SUM(D5:D8)</f>
        <v>758470.53999999992</v>
      </c>
      <c r="F9" s="4" t="s">
        <v>8</v>
      </c>
      <c r="G9" s="13">
        <v>2088</v>
      </c>
      <c r="H9" s="10">
        <v>547</v>
      </c>
      <c r="I9" s="13">
        <f>G9*H9</f>
        <v>1142136</v>
      </c>
      <c r="J9" s="4"/>
      <c r="K9" s="4" t="s">
        <v>8</v>
      </c>
      <c r="L9" s="13">
        <v>1970</v>
      </c>
      <c r="M9" s="10">
        <v>547</v>
      </c>
      <c r="N9" s="13">
        <f>L9*M9</f>
        <v>1077590</v>
      </c>
      <c r="O9" s="4"/>
      <c r="P9" s="4" t="s">
        <v>8</v>
      </c>
      <c r="Q9" s="13">
        <v>1725</v>
      </c>
      <c r="R9" s="10">
        <f>M9</f>
        <v>547</v>
      </c>
      <c r="S9" s="13">
        <f>Q9*R9</f>
        <v>943575</v>
      </c>
      <c r="T9" s="11"/>
      <c r="U9" s="4" t="s">
        <v>8</v>
      </c>
      <c r="V9" s="13">
        <v>1650</v>
      </c>
      <c r="W9" s="10">
        <f>M9</f>
        <v>547</v>
      </c>
      <c r="X9" s="13">
        <f>V9*W9</f>
        <v>902550</v>
      </c>
      <c r="Z9" s="4" t="s">
        <v>8</v>
      </c>
      <c r="AA9" s="13">
        <v>1600</v>
      </c>
      <c r="AB9" s="10">
        <f>M9</f>
        <v>547</v>
      </c>
      <c r="AC9" s="13">
        <f>AA9*AB9</f>
        <v>875200</v>
      </c>
    </row>
    <row r="10" spans="1:29" ht="15.6">
      <c r="F10" s="4" t="s">
        <v>9</v>
      </c>
      <c r="G10" s="13">
        <f>I9*0.11</f>
        <v>125634.96</v>
      </c>
      <c r="H10" s="10">
        <v>1</v>
      </c>
      <c r="I10" s="13">
        <f>G10*H10</f>
        <v>125634.96</v>
      </c>
      <c r="J10" s="4"/>
      <c r="K10" s="4" t="s">
        <v>9</v>
      </c>
      <c r="L10" s="13">
        <f>N9*0.11</f>
        <v>118534.9</v>
      </c>
      <c r="M10" s="10">
        <v>1</v>
      </c>
      <c r="N10" s="13">
        <f>L10*M10</f>
        <v>118534.9</v>
      </c>
      <c r="O10" s="4"/>
      <c r="P10" s="4" t="s">
        <v>9</v>
      </c>
      <c r="Q10" s="13">
        <f>S9*0.11</f>
        <v>103793.25</v>
      </c>
      <c r="R10" s="10">
        <v>1</v>
      </c>
      <c r="S10" s="13">
        <f>Q10*R10</f>
        <v>103793.25</v>
      </c>
      <c r="T10" s="11"/>
      <c r="U10" s="4" t="s">
        <v>9</v>
      </c>
      <c r="V10" s="13">
        <f>X9*0.11</f>
        <v>99280.5</v>
      </c>
      <c r="W10" s="10">
        <v>1</v>
      </c>
      <c r="X10" s="13">
        <f>V10*W10</f>
        <v>99280.5</v>
      </c>
      <c r="Z10" s="4" t="s">
        <v>9</v>
      </c>
      <c r="AA10" s="13">
        <f>AC9*0.11</f>
        <v>96272</v>
      </c>
      <c r="AB10" s="10">
        <v>1</v>
      </c>
      <c r="AC10" s="13">
        <f>AA10*AB10</f>
        <v>96272</v>
      </c>
    </row>
    <row r="11" spans="1:29" ht="15.6">
      <c r="B11" s="26"/>
      <c r="F11" s="12" t="s">
        <v>6</v>
      </c>
      <c r="I11" s="13">
        <f>SUM(I9:I10)</f>
        <v>1267770.96</v>
      </c>
      <c r="J11" s="4"/>
      <c r="K11" s="12" t="s">
        <v>6</v>
      </c>
      <c r="N11" s="13">
        <f>SUM(N9:N10)</f>
        <v>1196124.8999999999</v>
      </c>
      <c r="O11" s="4"/>
      <c r="P11" s="12" t="s">
        <v>6</v>
      </c>
      <c r="S11" s="13">
        <f>SUM(S9:S10)</f>
        <v>1047368.25</v>
      </c>
      <c r="T11" s="11"/>
      <c r="U11" s="12" t="s">
        <v>6</v>
      </c>
      <c r="X11" s="13">
        <f>SUM(X9:X10)</f>
        <v>1001830.5</v>
      </c>
      <c r="Z11" s="12" t="s">
        <v>6</v>
      </c>
      <c r="AC11" s="13">
        <f>SUM(AC9:AC10)</f>
        <v>971472</v>
      </c>
    </row>
    <row r="12" spans="1:29" ht="15.6">
      <c r="F12" s="10"/>
      <c r="I12" s="13"/>
      <c r="J12" s="4"/>
      <c r="K12" s="10"/>
      <c r="N12" s="13"/>
      <c r="O12" s="4"/>
      <c r="P12" s="10"/>
      <c r="Q12" s="26"/>
      <c r="S12" s="13"/>
      <c r="U12" s="10"/>
      <c r="X12" s="13"/>
      <c r="Z12" s="10"/>
      <c r="AC12" s="13"/>
    </row>
    <row r="13" spans="1:29" ht="15.6">
      <c r="F13" s="12"/>
      <c r="G13" s="4"/>
      <c r="I13" s="15"/>
      <c r="J13" s="4"/>
      <c r="K13" s="12" t="s">
        <v>19</v>
      </c>
      <c r="L13" s="4"/>
      <c r="N13" s="15"/>
      <c r="O13" s="4"/>
      <c r="P13" s="12" t="s">
        <v>19</v>
      </c>
      <c r="Q13" s="4"/>
      <c r="S13" s="15"/>
      <c r="U13" s="12" t="s">
        <v>19</v>
      </c>
      <c r="V13" s="4"/>
      <c r="X13" s="15"/>
      <c r="Z13" s="12" t="s">
        <v>19</v>
      </c>
      <c r="AA13" s="4"/>
      <c r="AC13" s="15"/>
    </row>
    <row r="14" spans="1:29" ht="15.6">
      <c r="D14" s="26"/>
      <c r="F14" s="4"/>
      <c r="G14" s="13"/>
      <c r="H14" s="10"/>
      <c r="I14" s="13"/>
      <c r="J14" s="4"/>
      <c r="K14" s="4" t="s">
        <v>8</v>
      </c>
      <c r="L14" s="13">
        <f>(L9*0.06)+L9</f>
        <v>2088.1999999999998</v>
      </c>
      <c r="M14" s="10">
        <f>M9</f>
        <v>547</v>
      </c>
      <c r="N14" s="13">
        <f>L14*M14</f>
        <v>1142245.3999999999</v>
      </c>
      <c r="O14" s="4"/>
      <c r="P14" s="4" t="s">
        <v>8</v>
      </c>
      <c r="Q14" s="13">
        <f>(Q9*0.06)+Q9</f>
        <v>1828.5</v>
      </c>
      <c r="R14" s="16">
        <f>R9</f>
        <v>547</v>
      </c>
      <c r="S14" s="13">
        <f>Q14*R14</f>
        <v>1000189.5</v>
      </c>
      <c r="U14" s="4" t="s">
        <v>8</v>
      </c>
      <c r="V14" s="13">
        <f>(V9*0.06)+V9</f>
        <v>1749</v>
      </c>
      <c r="W14" s="10">
        <f>M14</f>
        <v>547</v>
      </c>
      <c r="X14" s="13">
        <f>V14*W14</f>
        <v>956703</v>
      </c>
      <c r="Z14" s="4" t="s">
        <v>8</v>
      </c>
      <c r="AA14" s="13">
        <f>(AA9*0.06)+AA9</f>
        <v>1696</v>
      </c>
      <c r="AB14" s="10">
        <f>M9</f>
        <v>547</v>
      </c>
      <c r="AC14" s="13">
        <f>AA14*AB14</f>
        <v>927712</v>
      </c>
    </row>
    <row r="15" spans="1:29" ht="15.6">
      <c r="F15" s="4"/>
      <c r="G15" s="13"/>
      <c r="H15" s="10"/>
      <c r="I15" s="13"/>
      <c r="J15" s="4"/>
      <c r="K15" s="4" t="s">
        <v>9</v>
      </c>
      <c r="L15" s="13">
        <f>(L10*0.06)+L10</f>
        <v>125646.99399999999</v>
      </c>
      <c r="M15" s="10">
        <v>1</v>
      </c>
      <c r="N15" s="13">
        <f>L15*M15</f>
        <v>125646.99399999999</v>
      </c>
      <c r="O15" s="4"/>
      <c r="P15" s="4" t="s">
        <v>9</v>
      </c>
      <c r="Q15" s="13">
        <f>(Q10*0.06)+Q10</f>
        <v>110020.845</v>
      </c>
      <c r="R15" s="10">
        <v>1</v>
      </c>
      <c r="S15" s="13">
        <f>Q15*R15</f>
        <v>110020.845</v>
      </c>
      <c r="U15" s="4" t="s">
        <v>9</v>
      </c>
      <c r="V15" s="13">
        <f>(V10*0.06)+V10</f>
        <v>105237.33</v>
      </c>
      <c r="W15" s="10">
        <v>1</v>
      </c>
      <c r="X15" s="13">
        <f>V15*W15</f>
        <v>105237.33</v>
      </c>
      <c r="Z15" s="4" t="s">
        <v>9</v>
      </c>
      <c r="AA15" s="13">
        <f>(AA10*0.06)+AA10</f>
        <v>102048.32000000001</v>
      </c>
      <c r="AB15" s="10">
        <v>1</v>
      </c>
      <c r="AC15" s="13">
        <f>AA15*AB15</f>
        <v>102048.32000000001</v>
      </c>
    </row>
    <row r="16" spans="1:29" ht="15.6">
      <c r="F16" s="15"/>
      <c r="J16" s="4"/>
      <c r="K16" s="12" t="s">
        <v>6</v>
      </c>
      <c r="N16" s="13">
        <f>SUM(N14:N15)</f>
        <v>1267892.3939999999</v>
      </c>
      <c r="O16" s="4"/>
      <c r="P16" s="12" t="s">
        <v>6</v>
      </c>
      <c r="S16" s="13">
        <f>SUM(S14:S15)</f>
        <v>1110210.345</v>
      </c>
      <c r="U16" s="12" t="s">
        <v>6</v>
      </c>
      <c r="X16" s="13">
        <f>SUM(X14:X15)</f>
        <v>1061940.33</v>
      </c>
      <c r="Z16" s="12" t="s">
        <v>6</v>
      </c>
      <c r="AC16" s="13">
        <f>SUM(AC14:AC15)</f>
        <v>1029760.3200000001</v>
      </c>
    </row>
    <row r="17" spans="6:29" ht="15.6">
      <c r="J17" s="4"/>
      <c r="K17" s="12"/>
      <c r="N17" s="13"/>
      <c r="O17" s="4"/>
      <c r="P17" s="12"/>
      <c r="S17" s="13"/>
      <c r="U17" s="12"/>
      <c r="X17" s="13"/>
      <c r="Z17" s="12"/>
      <c r="AC17" s="13"/>
    </row>
    <row r="18" spans="6:29" ht="15.6">
      <c r="J18" s="4"/>
      <c r="K18" s="12" t="s">
        <v>20</v>
      </c>
      <c r="L18" s="9"/>
      <c r="O18" s="4"/>
      <c r="P18" s="12" t="s">
        <v>20</v>
      </c>
      <c r="Q18" s="9"/>
      <c r="U18" s="12" t="s">
        <v>20</v>
      </c>
      <c r="V18" s="9"/>
      <c r="Z18" s="12" t="s">
        <v>20</v>
      </c>
      <c r="AA18" s="9"/>
    </row>
    <row r="19" spans="6:29" ht="15.6">
      <c r="J19" s="4"/>
      <c r="K19" s="4" t="s">
        <v>8</v>
      </c>
      <c r="L19" s="13">
        <f>(L14*0.06)+L14</f>
        <v>2213.4919999999997</v>
      </c>
      <c r="M19" s="10">
        <f>M14</f>
        <v>547</v>
      </c>
      <c r="N19" s="13">
        <f>L19*M19</f>
        <v>1210780.1239999998</v>
      </c>
      <c r="O19" s="4"/>
      <c r="P19" s="4" t="s">
        <v>8</v>
      </c>
      <c r="Q19" s="13">
        <f>(Q14*0.06)+Q14</f>
        <v>1938.21</v>
      </c>
      <c r="R19" s="16">
        <f>R9</f>
        <v>547</v>
      </c>
      <c r="S19" s="13">
        <f>Q19*R19</f>
        <v>1060200.8700000001</v>
      </c>
      <c r="U19" s="4" t="s">
        <v>8</v>
      </c>
      <c r="V19" s="13">
        <f>(V14*0.06)+V14</f>
        <v>1853.94</v>
      </c>
      <c r="W19" s="10">
        <f>M19</f>
        <v>547</v>
      </c>
      <c r="X19" s="13">
        <f>V19*W19</f>
        <v>1014105.18</v>
      </c>
      <c r="Z19" s="4" t="s">
        <v>8</v>
      </c>
      <c r="AA19" s="13">
        <f>(AA14*0.06)+AA14</f>
        <v>1797.76</v>
      </c>
      <c r="AB19" s="10">
        <f>M9</f>
        <v>547</v>
      </c>
      <c r="AC19" s="13">
        <f>AA19*AB19</f>
        <v>983374.72</v>
      </c>
    </row>
    <row r="20" spans="6:29" ht="15.6">
      <c r="J20" s="4"/>
      <c r="K20" s="4" t="s">
        <v>9</v>
      </c>
      <c r="L20" s="13">
        <f>(L15*0.06)+L15</f>
        <v>133185.81363999998</v>
      </c>
      <c r="M20" s="10">
        <v>1</v>
      </c>
      <c r="N20" s="13">
        <f>L20*M20</f>
        <v>133185.81363999998</v>
      </c>
      <c r="O20" s="4"/>
      <c r="P20" s="4" t="s">
        <v>9</v>
      </c>
      <c r="Q20" s="13">
        <f>(Q15*0.06)+Q15</f>
        <v>116622.09570000001</v>
      </c>
      <c r="R20" s="10">
        <v>1</v>
      </c>
      <c r="S20" s="13">
        <f>Q20*R20</f>
        <v>116622.09570000001</v>
      </c>
      <c r="U20" s="4" t="s">
        <v>9</v>
      </c>
      <c r="V20" s="13">
        <f>(V15*0.06)+V15</f>
        <v>111551.5698</v>
      </c>
      <c r="W20" s="10">
        <v>1</v>
      </c>
      <c r="X20" s="13">
        <f>V20*W20</f>
        <v>111551.5698</v>
      </c>
      <c r="Z20" s="4" t="s">
        <v>9</v>
      </c>
      <c r="AA20" s="13">
        <f>(AA15*0.06)+AA15</f>
        <v>108171.21920000001</v>
      </c>
      <c r="AB20" s="10">
        <v>1</v>
      </c>
      <c r="AC20" s="13">
        <f>AA20*AB20</f>
        <v>108171.21920000001</v>
      </c>
    </row>
    <row r="21" spans="6:29" ht="15.6">
      <c r="J21" s="4"/>
      <c r="K21" s="12" t="s">
        <v>6</v>
      </c>
      <c r="N21" s="13">
        <f>SUM(N19:N20)</f>
        <v>1343965.9376399999</v>
      </c>
      <c r="O21" s="4"/>
      <c r="P21" s="12" t="s">
        <v>6</v>
      </c>
      <c r="S21" s="13">
        <f>SUM(S19:S20)</f>
        <v>1176822.9657000001</v>
      </c>
      <c r="U21" s="12" t="s">
        <v>6</v>
      </c>
      <c r="X21" s="13">
        <f>SUM(X19:X20)</f>
        <v>1125656.7498000001</v>
      </c>
      <c r="Z21" s="12" t="s">
        <v>6</v>
      </c>
      <c r="AC21" s="13">
        <f>SUM(AC19:AC20)</f>
        <v>1091545.9391999999</v>
      </c>
    </row>
    <row r="22" spans="6:29" ht="15.6">
      <c r="J22" s="4"/>
      <c r="K22" s="12"/>
      <c r="N22" s="13"/>
      <c r="O22" s="4"/>
      <c r="P22" s="12"/>
      <c r="S22" s="13"/>
      <c r="U22" s="12"/>
      <c r="X22" s="13"/>
      <c r="Z22" s="12"/>
      <c r="AC22" s="13"/>
    </row>
    <row r="23" spans="6:29" ht="15.6">
      <c r="J23" s="4"/>
      <c r="K23" s="12" t="s">
        <v>6</v>
      </c>
      <c r="L23" s="9"/>
      <c r="M23" s="17"/>
      <c r="N23" s="4">
        <f>N21+N16+N11</f>
        <v>3807983.2316399994</v>
      </c>
      <c r="O23" s="4"/>
      <c r="P23" s="12" t="s">
        <v>21</v>
      </c>
      <c r="S23" s="13"/>
      <c r="U23" s="12" t="s">
        <v>21</v>
      </c>
      <c r="W23" s="10"/>
      <c r="X23" s="13"/>
      <c r="Z23" s="12" t="s">
        <v>21</v>
      </c>
      <c r="AC23" s="13"/>
    </row>
    <row r="24" spans="6:29" ht="15.6">
      <c r="J24" s="9"/>
      <c r="K24" s="12"/>
      <c r="L24" s="9"/>
      <c r="N24" s="15"/>
      <c r="O24" s="4"/>
      <c r="P24" s="4" t="s">
        <v>8</v>
      </c>
      <c r="Q24" s="13">
        <f>(Q19*0.06)+Q19</f>
        <v>2054.5025999999998</v>
      </c>
      <c r="R24" s="16">
        <f>R14</f>
        <v>547</v>
      </c>
      <c r="S24" s="13">
        <f>Q24*R24</f>
        <v>1123812.9221999999</v>
      </c>
      <c r="U24" s="4" t="s">
        <v>8</v>
      </c>
      <c r="V24" s="13">
        <f>(V19*0.06)+V19</f>
        <v>1965.1764000000001</v>
      </c>
      <c r="W24" s="10">
        <f>W19</f>
        <v>547</v>
      </c>
      <c r="X24" s="13">
        <f>V24*W24</f>
        <v>1074951.4908</v>
      </c>
      <c r="Z24" s="4" t="s">
        <v>8</v>
      </c>
      <c r="AA24" s="13">
        <f>(AA19*0.06)+AA19</f>
        <v>1905.6256000000001</v>
      </c>
      <c r="AB24" s="10">
        <f>M9</f>
        <v>547</v>
      </c>
      <c r="AC24" s="13">
        <f>AA24*AB24</f>
        <v>1042377.2032</v>
      </c>
    </row>
    <row r="25" spans="6:29" ht="15.6">
      <c r="J25" s="9"/>
      <c r="K25" s="38"/>
      <c r="L25" s="19"/>
      <c r="M25" s="20"/>
      <c r="N25" s="19"/>
      <c r="O25" s="4"/>
      <c r="P25" s="4" t="s">
        <v>9</v>
      </c>
      <c r="Q25" s="13">
        <f>(Q20*0.06)+Q20</f>
        <v>123619.42144200001</v>
      </c>
      <c r="R25" s="10">
        <v>1</v>
      </c>
      <c r="S25" s="13">
        <f>Q25*R25</f>
        <v>123619.42144200001</v>
      </c>
      <c r="U25" s="4" t="s">
        <v>9</v>
      </c>
      <c r="V25" s="13">
        <f>(V20*0.06)+V20</f>
        <v>118244.663988</v>
      </c>
      <c r="W25" s="10">
        <v>1</v>
      </c>
      <c r="X25" s="13">
        <f>V25*W25</f>
        <v>118244.663988</v>
      </c>
      <c r="Z25" s="4" t="s">
        <v>9</v>
      </c>
      <c r="AA25" s="13">
        <f>(AA20*0.06)+AA20</f>
        <v>114661.492352</v>
      </c>
      <c r="AB25" s="10">
        <v>1</v>
      </c>
      <c r="AC25" s="13">
        <f>AA25*AB25</f>
        <v>114661.492352</v>
      </c>
    </row>
    <row r="26" spans="6:29" ht="15.6">
      <c r="F26" s="14"/>
      <c r="G26" s="14"/>
      <c r="H26" s="14"/>
      <c r="K26" s="4"/>
      <c r="L26" s="9"/>
      <c r="M26" s="21"/>
      <c r="N26" s="22"/>
      <c r="O26" s="4"/>
      <c r="P26" s="12" t="s">
        <v>6</v>
      </c>
      <c r="S26" s="13">
        <f>SUM(S24:S25)</f>
        <v>1247432.3436419999</v>
      </c>
      <c r="U26" s="12" t="s">
        <v>6</v>
      </c>
      <c r="X26" s="13">
        <f>SUM(X24:X25)</f>
        <v>1193196.154788</v>
      </c>
      <c r="Z26" s="12" t="s">
        <v>6</v>
      </c>
      <c r="AC26" s="13">
        <f>SUM(AC24:AC25)</f>
        <v>1157038.6955520001</v>
      </c>
    </row>
    <row r="27" spans="6:29" ht="15.6">
      <c r="K27" s="23"/>
      <c r="L27" s="23"/>
      <c r="M27" s="34"/>
      <c r="N27" s="24"/>
      <c r="O27" s="4"/>
      <c r="P27" s="12"/>
      <c r="S27" s="13"/>
      <c r="U27" s="12"/>
      <c r="X27" s="13"/>
      <c r="Z27" s="12"/>
      <c r="AC27" s="13"/>
    </row>
    <row r="28" spans="6:29" ht="15.6">
      <c r="F28" s="1"/>
      <c r="G28" s="1"/>
      <c r="H28" s="1"/>
      <c r="K28" s="25"/>
      <c r="O28" s="4"/>
      <c r="P28" s="12" t="s">
        <v>22</v>
      </c>
      <c r="S28" s="13"/>
      <c r="U28" s="12" t="s">
        <v>22</v>
      </c>
      <c r="X28" s="13"/>
      <c r="Z28" s="12" t="s">
        <v>22</v>
      </c>
      <c r="AC28" s="13"/>
    </row>
    <row r="29" spans="6:29" ht="15.6">
      <c r="F29" s="36"/>
      <c r="K29" s="23"/>
      <c r="M29" s="11"/>
      <c r="O29" s="4"/>
      <c r="P29" s="4" t="s">
        <v>8</v>
      </c>
      <c r="Q29" s="13">
        <f>(Q24*0.06)+Q24</f>
        <v>2177.7727559999998</v>
      </c>
      <c r="R29" s="16">
        <f>R19</f>
        <v>547</v>
      </c>
      <c r="S29" s="13">
        <f>Q29*R29</f>
        <v>1191241.697532</v>
      </c>
      <c r="U29" s="4" t="s">
        <v>8</v>
      </c>
      <c r="V29" s="13">
        <f>(V24*0.06)+V24</f>
        <v>2083.086984</v>
      </c>
      <c r="W29" s="10">
        <f>W24</f>
        <v>547</v>
      </c>
      <c r="X29" s="13">
        <f>V29*W29</f>
        <v>1139448.5802480001</v>
      </c>
      <c r="Z29" s="4" t="s">
        <v>8</v>
      </c>
      <c r="AA29" s="13">
        <f>(AA24*0.06)+AA24</f>
        <v>2019.9631360000001</v>
      </c>
      <c r="AB29" s="10">
        <f>M9</f>
        <v>547</v>
      </c>
      <c r="AC29" s="13">
        <f>AA29*AB29</f>
        <v>1104919.8353920002</v>
      </c>
    </row>
    <row r="30" spans="6:29" ht="15.6">
      <c r="F30" s="18"/>
      <c r="G30" s="18"/>
      <c r="H30" s="18"/>
      <c r="K30" s="5"/>
      <c r="O30" s="4"/>
      <c r="P30" s="4" t="s">
        <v>9</v>
      </c>
      <c r="Q30" s="13">
        <f>(Q25*0.06)+Q25</f>
        <v>131036.58672852001</v>
      </c>
      <c r="R30" s="10">
        <v>1</v>
      </c>
      <c r="S30" s="13">
        <f>Q30*R30</f>
        <v>131036.58672852001</v>
      </c>
      <c r="U30" s="4" t="s">
        <v>9</v>
      </c>
      <c r="V30" s="13">
        <f>(V25*0.06)+V25</f>
        <v>125339.34382728</v>
      </c>
      <c r="W30" s="10">
        <v>1</v>
      </c>
      <c r="X30" s="13">
        <f>V30*W30</f>
        <v>125339.34382728</v>
      </c>
      <c r="Z30" s="4" t="s">
        <v>9</v>
      </c>
      <c r="AA30" s="13">
        <f>(AA25*0.06)+AA25</f>
        <v>121541.18189312</v>
      </c>
      <c r="AB30" s="10">
        <v>1</v>
      </c>
      <c r="AC30" s="13">
        <f>AA30*AB30</f>
        <v>121541.18189312</v>
      </c>
    </row>
    <row r="31" spans="6:29" ht="15.6">
      <c r="F31" s="18"/>
      <c r="G31" s="18"/>
      <c r="H31" s="18"/>
      <c r="P31" s="12" t="s">
        <v>6</v>
      </c>
      <c r="S31" s="13">
        <f>SUM(S29:S30)</f>
        <v>1322278.28426052</v>
      </c>
      <c r="U31" s="12" t="s">
        <v>6</v>
      </c>
      <c r="X31" s="13">
        <f>SUM(X29:X30)</f>
        <v>1264787.9240752801</v>
      </c>
      <c r="Z31" s="12" t="s">
        <v>6</v>
      </c>
      <c r="AC31" s="13">
        <f>SUM(AC29:AC30)</f>
        <v>1226461.0172851202</v>
      </c>
    </row>
    <row r="32" spans="6:29" ht="15.6">
      <c r="F32" s="18"/>
      <c r="G32" s="18"/>
      <c r="H32" s="18"/>
      <c r="P32" s="12"/>
      <c r="S32" s="13"/>
      <c r="U32" s="12"/>
      <c r="V32" s="9"/>
      <c r="X32" s="27"/>
      <c r="Z32" s="12"/>
      <c r="AA32" s="9"/>
      <c r="AC32" s="27"/>
    </row>
    <row r="33" spans="6:29" ht="15.6">
      <c r="F33" s="18"/>
      <c r="G33" s="18"/>
      <c r="H33" s="18"/>
      <c r="L33" s="26"/>
      <c r="N33" s="11"/>
      <c r="P33" s="12" t="s">
        <v>6</v>
      </c>
      <c r="Q33" s="9"/>
      <c r="R33" s="17"/>
      <c r="S33" s="4">
        <f>SUM(S21+S16+S11+S26+S31)</f>
        <v>5904112.1886025202</v>
      </c>
      <c r="U33" s="12" t="s">
        <v>23</v>
      </c>
      <c r="V33" s="4"/>
      <c r="X33" s="26"/>
      <c r="Z33" s="12" t="s">
        <v>23</v>
      </c>
      <c r="AA33" s="4"/>
      <c r="AC33" s="26"/>
    </row>
    <row r="34" spans="6:29" ht="15.6">
      <c r="F34" s="18"/>
      <c r="G34" s="18"/>
      <c r="H34" s="18"/>
      <c r="P34" s="2"/>
      <c r="S34" s="11"/>
      <c r="U34" s="4" t="s">
        <v>8</v>
      </c>
      <c r="V34" s="13">
        <f>(V29*0.06)+V29</f>
        <v>2208.0722030400002</v>
      </c>
      <c r="W34" s="10">
        <f>W29</f>
        <v>547</v>
      </c>
      <c r="X34" s="13">
        <f>V34*W34</f>
        <v>1207815.4950628802</v>
      </c>
      <c r="Z34" s="4" t="s">
        <v>8</v>
      </c>
      <c r="AA34" s="13">
        <f>(AA29*0.06)+AA29</f>
        <v>2141.1609241599999</v>
      </c>
      <c r="AB34" s="10">
        <f>M9</f>
        <v>547</v>
      </c>
      <c r="AC34" s="13">
        <f>AA34*AB34</f>
        <v>1171215.02551552</v>
      </c>
    </row>
    <row r="35" spans="6:29" ht="15.6">
      <c r="P35" s="12"/>
      <c r="Q35" s="9"/>
      <c r="R35" s="21"/>
      <c r="S35" s="22"/>
      <c r="U35" s="4" t="s">
        <v>9</v>
      </c>
      <c r="V35" s="13">
        <f>(V30*0.06)+V30</f>
        <v>132859.70445691681</v>
      </c>
      <c r="W35" s="10">
        <v>1</v>
      </c>
      <c r="X35" s="13">
        <f>V35*W35</f>
        <v>132859.70445691681</v>
      </c>
      <c r="Z35" s="4" t="s">
        <v>9</v>
      </c>
      <c r="AA35" s="13">
        <f>(AA30*0.06)+AA30</f>
        <v>128833.65280670719</v>
      </c>
      <c r="AB35" s="10">
        <v>1</v>
      </c>
      <c r="AC35" s="13">
        <f>AA35*AB35</f>
        <v>128833.65280670719</v>
      </c>
    </row>
    <row r="36" spans="6:29" ht="15.6">
      <c r="P36" s="23"/>
      <c r="Q36" s="23"/>
      <c r="R36" s="34"/>
      <c r="S36" s="24"/>
      <c r="U36" s="12" t="s">
        <v>6</v>
      </c>
      <c r="X36" s="13">
        <f>SUM(X34:X35)</f>
        <v>1340675.199519797</v>
      </c>
      <c r="Z36" s="12" t="s">
        <v>6</v>
      </c>
      <c r="AC36" s="13">
        <f>SUM(AC34:AC35)</f>
        <v>1300048.6783222272</v>
      </c>
    </row>
    <row r="37" spans="6:29" ht="15.6">
      <c r="P37" s="4"/>
      <c r="Q37" s="13"/>
      <c r="R37" s="10"/>
      <c r="S37" s="13"/>
      <c r="U37" s="12"/>
      <c r="X37" s="13"/>
      <c r="Z37" s="12"/>
      <c r="AC37" s="13"/>
    </row>
    <row r="38" spans="6:29" ht="15.6">
      <c r="O38" s="4"/>
      <c r="P38" s="12"/>
      <c r="Q38" s="9"/>
      <c r="R38" s="11"/>
      <c r="S38" s="27"/>
      <c r="U38" s="12" t="s">
        <v>24</v>
      </c>
      <c r="V38" s="4"/>
      <c r="X38" s="26"/>
      <c r="Z38" s="12" t="s">
        <v>24</v>
      </c>
      <c r="AA38" s="4"/>
      <c r="AC38" s="26"/>
    </row>
    <row r="39" spans="6:29" ht="15.6">
      <c r="O39" s="4"/>
      <c r="P39" s="28"/>
      <c r="Q39" s="29" t="s">
        <v>25</v>
      </c>
      <c r="R39" s="28"/>
      <c r="S39" s="30">
        <f>(N11-S11)+(N16-S16)+(N21-S21)</f>
        <v>473581.67093999963</v>
      </c>
      <c r="U39" s="4" t="s">
        <v>8</v>
      </c>
      <c r="V39" s="13">
        <f>(V34*0.06)+V34</f>
        <v>2340.5565352224003</v>
      </c>
      <c r="W39" s="10">
        <f>W34</f>
        <v>547</v>
      </c>
      <c r="X39" s="13">
        <f>V39*W39</f>
        <v>1280284.424766653</v>
      </c>
      <c r="Z39" s="4" t="s">
        <v>8</v>
      </c>
      <c r="AA39" s="13">
        <f>(AA34*0.06)+AA34</f>
        <v>2269.6305796095999</v>
      </c>
      <c r="AB39" s="10">
        <f>M9</f>
        <v>547</v>
      </c>
      <c r="AC39" s="13">
        <f>AA39*AB39</f>
        <v>1241487.927046451</v>
      </c>
    </row>
    <row r="40" spans="6:29" ht="15.6">
      <c r="O40" s="4"/>
      <c r="P40" s="5"/>
      <c r="R40" s="32"/>
      <c r="S40" s="4"/>
      <c r="U40" s="4" t="s">
        <v>9</v>
      </c>
      <c r="V40" s="13">
        <f>(V35*0.06)+V35</f>
        <v>140831.28672433182</v>
      </c>
      <c r="W40" s="10">
        <v>1</v>
      </c>
      <c r="X40" s="13">
        <f>V40*W40</f>
        <v>140831.28672433182</v>
      </c>
      <c r="Z40" s="4" t="s">
        <v>9</v>
      </c>
      <c r="AA40" s="13">
        <f>(AA35*0.06)+AA35</f>
        <v>136563.67197510961</v>
      </c>
      <c r="AB40" s="10">
        <v>1</v>
      </c>
      <c r="AC40" s="13">
        <f>AA40*AB40</f>
        <v>136563.67197510961</v>
      </c>
    </row>
    <row r="41" spans="6:29" ht="15.6">
      <c r="O41" s="4"/>
      <c r="P41" s="5"/>
      <c r="R41" s="31"/>
      <c r="U41" s="12" t="s">
        <v>6</v>
      </c>
      <c r="X41" s="13">
        <f>SUM(X39:X40)</f>
        <v>1421115.7114909848</v>
      </c>
      <c r="Z41" s="12" t="s">
        <v>6</v>
      </c>
      <c r="AC41" s="13">
        <f>SUM(AC39:AC40)</f>
        <v>1378051.5990215605</v>
      </c>
    </row>
    <row r="42" spans="6:29" ht="15.6">
      <c r="L42" s="5"/>
      <c r="N42" s="31"/>
      <c r="O42" s="4"/>
      <c r="Q42" s="5"/>
      <c r="R42" s="31"/>
      <c r="U42" s="12"/>
      <c r="X42" s="13"/>
      <c r="Z42" s="12"/>
      <c r="AC42" s="13"/>
    </row>
    <row r="43" spans="6:29" ht="15.6">
      <c r="L43" s="5"/>
      <c r="N43" s="31"/>
      <c r="O43" s="4"/>
      <c r="Q43" s="5"/>
      <c r="R43" s="31"/>
      <c r="U43" s="38" t="s">
        <v>6</v>
      </c>
      <c r="X43" s="15">
        <f>SUM(X11+X16+X21+X26+X31+X36+X41)</f>
        <v>8409202.5696740635</v>
      </c>
      <c r="Z43" s="2" t="s">
        <v>6</v>
      </c>
      <c r="AC43" s="4">
        <f>SUM(AC41+AC36+AC31+AC26+AC21+AC16+AC11)</f>
        <v>8154378.249380908</v>
      </c>
    </row>
    <row r="44" spans="6:29" ht="15.6">
      <c r="M44" s="5"/>
      <c r="N44" s="31"/>
      <c r="O44" s="4"/>
      <c r="P44" s="26"/>
      <c r="S44" s="31"/>
      <c r="T44" s="28"/>
      <c r="U44" s="42"/>
      <c r="W44" s="17"/>
      <c r="X44" s="4"/>
      <c r="Z44" s="42"/>
      <c r="AC44" s="4"/>
    </row>
    <row r="45" spans="6:29" ht="15.6">
      <c r="M45" s="5"/>
      <c r="N45" s="31"/>
      <c r="O45" s="4"/>
      <c r="U45" s="38"/>
      <c r="X45" s="26"/>
      <c r="Z45" s="38"/>
      <c r="AC45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1037-01E4-46F0-9BC7-B84B66F0099F}">
  <dimension ref="A1:Y67"/>
  <sheetViews>
    <sheetView topLeftCell="D12" zoomScale="60" workbookViewId="0">
      <selection activeCell="S43" sqref="S43"/>
    </sheetView>
  </sheetViews>
  <sheetFormatPr defaultColWidth="11" defaultRowHeight="15.75" customHeight="1"/>
  <cols>
    <col min="1" max="1" width="22.19921875" customWidth="1"/>
    <col min="4" max="4" width="13.19921875" bestFit="1" customWidth="1"/>
    <col min="7" max="7" width="13.296875" customWidth="1"/>
    <col min="8" max="8" width="13.19921875" bestFit="1" customWidth="1"/>
    <col min="9" max="9" width="15.69921875" bestFit="1" customWidth="1"/>
    <col min="12" max="12" width="26.19921875" bestFit="1" customWidth="1"/>
    <col min="13" max="14" width="13.19921875" bestFit="1" customWidth="1"/>
    <col min="16" max="16" width="15.69921875" customWidth="1"/>
    <col min="18" max="18" width="13.296875" bestFit="1" customWidth="1"/>
    <col min="19" max="19" width="12.5" bestFit="1" customWidth="1"/>
    <col min="21" max="21" width="26.796875" customWidth="1"/>
    <col min="24" max="24" width="26.5" customWidth="1"/>
  </cols>
  <sheetData>
    <row r="1" spans="1:24" ht="15.6">
      <c r="A1" s="40" t="s">
        <v>26</v>
      </c>
      <c r="I1" s="2"/>
    </row>
    <row r="2" spans="1:24" ht="17.399999999999999">
      <c r="K2" s="3"/>
    </row>
    <row r="3" spans="1:24" ht="15.6">
      <c r="A3" s="2" t="s">
        <v>0</v>
      </c>
      <c r="E3" s="4"/>
      <c r="F3" s="2" t="s">
        <v>1</v>
      </c>
      <c r="J3" s="4"/>
      <c r="K3" s="2" t="s">
        <v>2</v>
      </c>
      <c r="P3" s="2" t="s">
        <v>3</v>
      </c>
      <c r="U3" s="2" t="s">
        <v>12</v>
      </c>
    </row>
    <row r="4" spans="1:24" ht="15.6">
      <c r="A4" s="6" t="s">
        <v>27</v>
      </c>
      <c r="E4" s="4"/>
      <c r="F4" s="6" t="s">
        <v>13</v>
      </c>
      <c r="J4" s="4"/>
      <c r="K4" s="6" t="s">
        <v>27</v>
      </c>
      <c r="P4" s="6" t="s">
        <v>27</v>
      </c>
      <c r="U4" s="6" t="s">
        <v>27</v>
      </c>
    </row>
    <row r="5" spans="1:24" ht="15.6">
      <c r="A5" s="39" t="s">
        <v>14</v>
      </c>
      <c r="E5" s="4"/>
      <c r="F5" s="39" t="s">
        <v>14</v>
      </c>
      <c r="J5" s="4"/>
      <c r="K5" s="39" t="s">
        <v>14</v>
      </c>
      <c r="O5" s="8"/>
      <c r="P5" s="39" t="s">
        <v>14</v>
      </c>
      <c r="T5" s="8"/>
      <c r="U5" s="39" t="s">
        <v>14</v>
      </c>
    </row>
    <row r="6" spans="1:24" ht="15.6">
      <c r="A6" s="6"/>
      <c r="E6" s="4"/>
      <c r="F6" s="6"/>
      <c r="J6" s="4"/>
      <c r="O6" s="8"/>
      <c r="T6" s="8"/>
    </row>
    <row r="7" spans="1:24" ht="15.6">
      <c r="A7" s="8"/>
      <c r="B7" s="7" t="s">
        <v>4</v>
      </c>
      <c r="C7" s="7" t="s">
        <v>5</v>
      </c>
      <c r="D7" s="7" t="s">
        <v>6</v>
      </c>
      <c r="E7" s="4"/>
      <c r="F7" s="8"/>
      <c r="G7" s="7" t="s">
        <v>4</v>
      </c>
      <c r="H7" s="7" t="s">
        <v>5</v>
      </c>
      <c r="I7" s="7" t="s">
        <v>6</v>
      </c>
      <c r="J7" s="4"/>
      <c r="K7" s="8"/>
      <c r="L7" s="7" t="s">
        <v>4</v>
      </c>
      <c r="M7" s="7" t="s">
        <v>5</v>
      </c>
      <c r="N7" s="7" t="s">
        <v>6</v>
      </c>
      <c r="O7" s="11"/>
      <c r="P7" s="8"/>
      <c r="Q7" s="7" t="s">
        <v>4</v>
      </c>
      <c r="R7" s="7" t="s">
        <v>5</v>
      </c>
      <c r="S7" s="7" t="s">
        <v>6</v>
      </c>
      <c r="U7" s="8"/>
      <c r="V7" s="7" t="s">
        <v>4</v>
      </c>
      <c r="W7" s="7" t="s">
        <v>5</v>
      </c>
      <c r="X7" s="7" t="s">
        <v>6</v>
      </c>
    </row>
    <row r="8" spans="1:24" ht="15.6">
      <c r="A8" s="12" t="s">
        <v>7</v>
      </c>
      <c r="B8" s="4"/>
      <c r="E8" s="4"/>
      <c r="F8" s="12" t="s">
        <v>7</v>
      </c>
      <c r="G8" s="4"/>
      <c r="J8" s="4"/>
      <c r="K8" s="12" t="s">
        <v>7</v>
      </c>
      <c r="L8" s="4"/>
      <c r="O8" s="11"/>
      <c r="P8" s="12" t="s">
        <v>7</v>
      </c>
      <c r="Q8" s="4"/>
      <c r="U8" s="12" t="s">
        <v>7</v>
      </c>
      <c r="V8" s="4"/>
    </row>
    <row r="9" spans="1:24" ht="15.6">
      <c r="A9" s="4" t="s">
        <v>8</v>
      </c>
      <c r="B9" s="13">
        <v>2120</v>
      </c>
      <c r="C9" s="10">
        <v>484</v>
      </c>
      <c r="D9" s="13">
        <f>B9*C9</f>
        <v>1026080</v>
      </c>
      <c r="E9" s="4"/>
      <c r="F9" s="4" t="s">
        <v>8</v>
      </c>
      <c r="G9" s="13">
        <v>2005</v>
      </c>
      <c r="H9" s="10">
        <v>484</v>
      </c>
      <c r="I9" s="13">
        <f>G9*H9</f>
        <v>970420</v>
      </c>
      <c r="J9" s="4"/>
      <c r="K9" s="4" t="s">
        <v>8</v>
      </c>
      <c r="L9" s="13">
        <v>1895</v>
      </c>
      <c r="M9" s="10">
        <f>H9</f>
        <v>484</v>
      </c>
      <c r="N9" s="13">
        <f>L9*M9</f>
        <v>917180</v>
      </c>
      <c r="O9" s="11"/>
      <c r="P9" s="4" t="s">
        <v>8</v>
      </c>
      <c r="Q9" s="13">
        <v>1790</v>
      </c>
      <c r="R9" s="10">
        <f>H9</f>
        <v>484</v>
      </c>
      <c r="S9" s="13">
        <f>Q9*R9</f>
        <v>866360</v>
      </c>
      <c r="U9" s="4" t="s">
        <v>8</v>
      </c>
      <c r="V9" s="13">
        <v>1740</v>
      </c>
      <c r="W9" s="10">
        <f>H9</f>
        <v>484</v>
      </c>
      <c r="X9" s="13">
        <f>V9*W9</f>
        <v>842160</v>
      </c>
    </row>
    <row r="10" spans="1:24" ht="15.6">
      <c r="A10" s="4" t="s">
        <v>9</v>
      </c>
      <c r="B10" s="13">
        <f>D9*0.11</f>
        <v>112868.8</v>
      </c>
      <c r="C10" s="10">
        <v>1</v>
      </c>
      <c r="D10" s="13">
        <f>B10*C10</f>
        <v>112868.8</v>
      </c>
      <c r="E10" s="4"/>
      <c r="F10" s="4" t="s">
        <v>9</v>
      </c>
      <c r="G10" s="13">
        <f>I9*0.11</f>
        <v>106746.2</v>
      </c>
      <c r="H10" s="10">
        <v>1</v>
      </c>
      <c r="I10" s="13">
        <f>G10*H10</f>
        <v>106746.2</v>
      </c>
      <c r="J10" s="4"/>
      <c r="K10" s="4" t="s">
        <v>9</v>
      </c>
      <c r="L10" s="13">
        <f>N9*0.11</f>
        <v>100889.8</v>
      </c>
      <c r="M10" s="10">
        <v>1</v>
      </c>
      <c r="N10" s="13">
        <f>L10*M10</f>
        <v>100889.8</v>
      </c>
      <c r="O10" s="11"/>
      <c r="P10" s="4" t="s">
        <v>9</v>
      </c>
      <c r="Q10" s="13">
        <f>S9*0.11</f>
        <v>95299.6</v>
      </c>
      <c r="R10" s="10">
        <v>1</v>
      </c>
      <c r="S10" s="13">
        <f>Q10*R10</f>
        <v>95299.6</v>
      </c>
      <c r="U10" s="4" t="s">
        <v>9</v>
      </c>
      <c r="V10" s="13">
        <f>X9*0.11</f>
        <v>92637.6</v>
      </c>
      <c r="W10" s="10">
        <v>1</v>
      </c>
      <c r="X10" s="13">
        <f>V10*W10</f>
        <v>92637.6</v>
      </c>
    </row>
    <row r="11" spans="1:24" ht="15.6">
      <c r="A11" s="12" t="s">
        <v>6</v>
      </c>
      <c r="D11" s="13">
        <f>SUM(D9:D10)</f>
        <v>1138948.8</v>
      </c>
      <c r="E11" s="4"/>
      <c r="F11" s="12" t="s">
        <v>6</v>
      </c>
      <c r="I11" s="13">
        <f>SUM(I9:I10)</f>
        <v>1077166.2</v>
      </c>
      <c r="J11" s="4"/>
      <c r="K11" s="12" t="s">
        <v>6</v>
      </c>
      <c r="N11" s="13">
        <f>SUM(N9:N10)</f>
        <v>1018069.8</v>
      </c>
      <c r="O11" s="11"/>
      <c r="P11" s="12" t="s">
        <v>6</v>
      </c>
      <c r="S11" s="13">
        <f>SUM(S9:S10)</f>
        <v>961659.6</v>
      </c>
      <c r="U11" s="12" t="s">
        <v>6</v>
      </c>
      <c r="X11" s="13">
        <f>SUM(X9:X10)</f>
        <v>934797.6</v>
      </c>
    </row>
    <row r="12" spans="1:24" ht="15.6">
      <c r="A12" s="10"/>
      <c r="D12" s="13"/>
      <c r="E12" s="4"/>
      <c r="F12" s="10"/>
      <c r="I12" s="13"/>
      <c r="J12" s="4"/>
      <c r="K12" s="10"/>
      <c r="L12" s="26"/>
      <c r="N12" s="13"/>
      <c r="P12" s="10"/>
      <c r="S12" s="13"/>
      <c r="U12" s="10"/>
      <c r="X12" s="13"/>
    </row>
    <row r="13" spans="1:24" ht="15.6">
      <c r="A13" s="12"/>
      <c r="B13" s="4"/>
      <c r="D13" s="15"/>
      <c r="E13" s="4"/>
      <c r="F13" s="12" t="s">
        <v>19</v>
      </c>
      <c r="G13" s="4"/>
      <c r="I13" s="15"/>
      <c r="J13" s="4"/>
      <c r="K13" s="12" t="s">
        <v>19</v>
      </c>
      <c r="L13" s="4"/>
      <c r="N13" s="15"/>
      <c r="P13" s="12" t="s">
        <v>19</v>
      </c>
      <c r="Q13" s="4"/>
      <c r="S13" s="15"/>
      <c r="U13" s="12" t="s">
        <v>19</v>
      </c>
      <c r="V13" s="4"/>
      <c r="X13" s="15"/>
    </row>
    <row r="14" spans="1:24" ht="15.6">
      <c r="A14" s="4"/>
      <c r="B14" s="13"/>
      <c r="C14" s="10"/>
      <c r="D14" s="13"/>
      <c r="E14" s="4"/>
      <c r="F14" s="4" t="s">
        <v>8</v>
      </c>
      <c r="G14" s="13">
        <f>(G9*0.06)+G9</f>
        <v>2125.3000000000002</v>
      </c>
      <c r="H14" s="10">
        <f>H9</f>
        <v>484</v>
      </c>
      <c r="I14" s="13">
        <f>G14*H14</f>
        <v>1028645.2000000001</v>
      </c>
      <c r="J14" s="4"/>
      <c r="K14" s="4" t="s">
        <v>8</v>
      </c>
      <c r="L14" s="13">
        <f>(L9*0.06)+L9</f>
        <v>2008.7</v>
      </c>
      <c r="M14" s="16">
        <f>M9</f>
        <v>484</v>
      </c>
      <c r="N14" s="13">
        <f>L14*M14</f>
        <v>972210.8</v>
      </c>
      <c r="P14" s="4" t="s">
        <v>8</v>
      </c>
      <c r="Q14" s="13">
        <f>(Q9*0.06)+Q9</f>
        <v>1897.4</v>
      </c>
      <c r="R14" s="10">
        <f>H14</f>
        <v>484</v>
      </c>
      <c r="S14" s="13">
        <f>Q14*R14</f>
        <v>918341.60000000009</v>
      </c>
      <c r="U14" s="4" t="s">
        <v>8</v>
      </c>
      <c r="V14" s="13">
        <f>(V9*0.06)+V9</f>
        <v>1844.4</v>
      </c>
      <c r="W14" s="10">
        <f>H9</f>
        <v>484</v>
      </c>
      <c r="X14" s="13">
        <f>V14*W14</f>
        <v>892689.60000000009</v>
      </c>
    </row>
    <row r="15" spans="1:24" ht="15.6">
      <c r="A15" s="4"/>
      <c r="B15" s="13"/>
      <c r="C15" s="10"/>
      <c r="D15" s="13"/>
      <c r="E15" s="4"/>
      <c r="F15" s="4" t="s">
        <v>9</v>
      </c>
      <c r="G15" s="13">
        <f>(G10*0.06)+G10</f>
        <v>113150.97199999999</v>
      </c>
      <c r="H15" s="10">
        <v>1</v>
      </c>
      <c r="I15" s="13">
        <f>G15*H15</f>
        <v>113150.97199999999</v>
      </c>
      <c r="J15" s="4"/>
      <c r="K15" s="4" t="s">
        <v>9</v>
      </c>
      <c r="L15" s="13">
        <f>(L10*0.06)+L10</f>
        <v>106943.18800000001</v>
      </c>
      <c r="M15" s="10">
        <v>1</v>
      </c>
      <c r="N15" s="13">
        <f>L15*M15</f>
        <v>106943.18800000001</v>
      </c>
      <c r="P15" s="4" t="s">
        <v>9</v>
      </c>
      <c r="Q15" s="13">
        <f>(Q10*0.06)+Q10</f>
        <v>101017.576</v>
      </c>
      <c r="R15" s="10">
        <v>1</v>
      </c>
      <c r="S15" s="13">
        <f>Q15*R15</f>
        <v>101017.576</v>
      </c>
      <c r="U15" s="4" t="s">
        <v>9</v>
      </c>
      <c r="V15" s="13">
        <f>(V10*0.06)+V10</f>
        <v>98195.856</v>
      </c>
      <c r="W15" s="10">
        <v>1</v>
      </c>
      <c r="X15" s="13">
        <f>V15*W15</f>
        <v>98195.856</v>
      </c>
    </row>
    <row r="16" spans="1:24" ht="15.6">
      <c r="A16" s="12"/>
      <c r="D16" s="13"/>
      <c r="E16" s="4"/>
      <c r="F16" s="12" t="s">
        <v>6</v>
      </c>
      <c r="I16" s="13">
        <f>SUM(I14:I15)</f>
        <v>1141796.172</v>
      </c>
      <c r="J16" s="4"/>
      <c r="K16" s="12" t="s">
        <v>6</v>
      </c>
      <c r="N16" s="13">
        <f>SUM(N14:N15)</f>
        <v>1079153.9880000001</v>
      </c>
      <c r="P16" s="12" t="s">
        <v>6</v>
      </c>
      <c r="S16" s="13">
        <f>SUM(S14:S15)</f>
        <v>1019359.1760000001</v>
      </c>
      <c r="U16" s="12" t="s">
        <v>6</v>
      </c>
      <c r="X16" s="13">
        <f>SUM(X14:X15)</f>
        <v>990885.45600000012</v>
      </c>
    </row>
    <row r="17" spans="1:24" ht="15.6">
      <c r="A17" s="12"/>
      <c r="D17" s="13"/>
      <c r="E17" s="4"/>
      <c r="F17" s="12"/>
      <c r="I17" s="13"/>
      <c r="J17" s="4"/>
      <c r="K17" s="12"/>
      <c r="N17" s="13"/>
      <c r="P17" s="12"/>
      <c r="S17" s="13"/>
      <c r="U17" s="12"/>
      <c r="X17" s="13"/>
    </row>
    <row r="18" spans="1:24" ht="15.6">
      <c r="A18" s="12"/>
      <c r="B18" s="9"/>
      <c r="E18" s="4"/>
      <c r="F18" s="12" t="s">
        <v>20</v>
      </c>
      <c r="G18" s="9"/>
      <c r="J18" s="4"/>
      <c r="K18" s="12" t="s">
        <v>20</v>
      </c>
      <c r="L18" s="9"/>
      <c r="P18" s="12" t="s">
        <v>20</v>
      </c>
      <c r="Q18" s="9"/>
      <c r="U18" s="12" t="s">
        <v>20</v>
      </c>
      <c r="V18" s="9"/>
    </row>
    <row r="19" spans="1:24" ht="15.6">
      <c r="A19" s="4"/>
      <c r="B19" s="13"/>
      <c r="C19" s="10"/>
      <c r="D19" s="13"/>
      <c r="E19" s="4"/>
      <c r="F19" s="4" t="s">
        <v>8</v>
      </c>
      <c r="G19" s="13">
        <f>(G14*0.06)+G14</f>
        <v>2252.8180000000002</v>
      </c>
      <c r="H19" s="10">
        <f>H14</f>
        <v>484</v>
      </c>
      <c r="I19" s="13">
        <f>G19*H19</f>
        <v>1090363.912</v>
      </c>
      <c r="J19" s="4"/>
      <c r="K19" s="4" t="s">
        <v>8</v>
      </c>
      <c r="L19" s="13">
        <f>(L14*0.06)+L14</f>
        <v>2129.2220000000002</v>
      </c>
      <c r="M19" s="16">
        <f>M9</f>
        <v>484</v>
      </c>
      <c r="N19" s="13">
        <f>L19*M19</f>
        <v>1030543.4480000001</v>
      </c>
      <c r="P19" s="4" t="s">
        <v>8</v>
      </c>
      <c r="Q19" s="13">
        <f>(Q14*0.06)+Q14</f>
        <v>2011.2440000000001</v>
      </c>
      <c r="R19" s="10">
        <f>H19</f>
        <v>484</v>
      </c>
      <c r="S19" s="13">
        <f>Q19*R19</f>
        <v>973442.09600000002</v>
      </c>
      <c r="U19" s="4" t="s">
        <v>8</v>
      </c>
      <c r="V19" s="13">
        <f>(V14*0.06)+V14</f>
        <v>1955.0640000000001</v>
      </c>
      <c r="W19" s="10">
        <f>H9</f>
        <v>484</v>
      </c>
      <c r="X19" s="13">
        <f>V19*W19</f>
        <v>946250.97600000002</v>
      </c>
    </row>
    <row r="20" spans="1:24" ht="15.6">
      <c r="A20" s="4"/>
      <c r="B20" s="13"/>
      <c r="C20" s="10"/>
      <c r="D20" s="13"/>
      <c r="E20" s="4"/>
      <c r="F20" s="4" t="s">
        <v>9</v>
      </c>
      <c r="G20" s="13">
        <f>(G15*0.06)+G15</f>
        <v>119940.03031999999</v>
      </c>
      <c r="H20" s="10">
        <v>1</v>
      </c>
      <c r="I20" s="13">
        <f>G20*H20</f>
        <v>119940.03031999999</v>
      </c>
      <c r="J20" s="4"/>
      <c r="K20" s="4" t="s">
        <v>9</v>
      </c>
      <c r="L20" s="13">
        <f>(L15*0.06)+L15</f>
        <v>113359.77928000002</v>
      </c>
      <c r="M20" s="10">
        <v>1</v>
      </c>
      <c r="N20" s="13">
        <f>L20*M20</f>
        <v>113359.77928000002</v>
      </c>
      <c r="P20" s="4" t="s">
        <v>9</v>
      </c>
      <c r="Q20" s="13">
        <f>(Q15*0.06)+Q15</f>
        <v>107078.63056000001</v>
      </c>
      <c r="R20" s="10">
        <v>1</v>
      </c>
      <c r="S20" s="13">
        <f>Q20*R20</f>
        <v>107078.63056000001</v>
      </c>
      <c r="U20" s="4" t="s">
        <v>9</v>
      </c>
      <c r="V20" s="13">
        <f>(V15*0.06)+V15</f>
        <v>104087.60735999999</v>
      </c>
      <c r="W20" s="10">
        <v>1</v>
      </c>
      <c r="X20" s="13">
        <f>V20*W20</f>
        <v>104087.60735999999</v>
      </c>
    </row>
    <row r="21" spans="1:24" ht="15.6">
      <c r="A21" s="12"/>
      <c r="D21" s="13"/>
      <c r="E21" s="4"/>
      <c r="F21" s="12" t="s">
        <v>6</v>
      </c>
      <c r="I21" s="13">
        <f>SUM(I19:I20)</f>
        <v>1210303.9423199999</v>
      </c>
      <c r="J21" s="4"/>
      <c r="K21" s="12" t="s">
        <v>6</v>
      </c>
      <c r="N21" s="13">
        <f>SUM(N19:N20)</f>
        <v>1143903.2272800002</v>
      </c>
      <c r="P21" s="12" t="s">
        <v>6</v>
      </c>
      <c r="S21" s="13">
        <f>SUM(S19:S20)</f>
        <v>1080520.7265600001</v>
      </c>
      <c r="U21" s="12" t="s">
        <v>6</v>
      </c>
      <c r="X21" s="13">
        <f>SUM(X19:X20)</f>
        <v>1050338.58336</v>
      </c>
    </row>
    <row r="22" spans="1:24" ht="15.6">
      <c r="A22" s="12"/>
      <c r="D22" s="13"/>
      <c r="E22" s="4"/>
      <c r="F22" s="12"/>
      <c r="I22" s="13"/>
      <c r="J22" s="4"/>
      <c r="K22" s="12"/>
      <c r="N22" s="13"/>
      <c r="P22" s="12"/>
      <c r="S22" s="13"/>
      <c r="U22" s="12"/>
      <c r="X22" s="13"/>
    </row>
    <row r="23" spans="1:24" ht="15.6">
      <c r="A23" s="12"/>
      <c r="B23" s="9"/>
      <c r="C23" s="17"/>
      <c r="D23" s="4"/>
      <c r="E23" s="4"/>
      <c r="F23" s="12" t="s">
        <v>6</v>
      </c>
      <c r="G23" s="9"/>
      <c r="H23" s="17"/>
      <c r="I23" s="4">
        <f>SUM(I21+I16+I11)</f>
        <v>3429266.3143199999</v>
      </c>
      <c r="J23" s="4"/>
      <c r="K23" s="12" t="s">
        <v>21</v>
      </c>
      <c r="N23" s="13"/>
      <c r="P23" s="12" t="s">
        <v>21</v>
      </c>
      <c r="R23" s="10"/>
      <c r="S23" s="13"/>
      <c r="U23" s="12" t="s">
        <v>21</v>
      </c>
      <c r="X23" s="13"/>
    </row>
    <row r="24" spans="1:24" ht="15.6">
      <c r="A24" s="14"/>
      <c r="B24" s="14"/>
      <c r="C24" s="14"/>
      <c r="D24" s="9"/>
      <c r="E24" s="9"/>
      <c r="F24" s="12"/>
      <c r="G24" s="9"/>
      <c r="I24" s="15"/>
      <c r="J24" s="4"/>
      <c r="K24" s="4" t="s">
        <v>8</v>
      </c>
      <c r="L24" s="13">
        <f>(L19*0.06)+L19</f>
        <v>2256.97532</v>
      </c>
      <c r="M24" s="16">
        <f>M14</f>
        <v>484</v>
      </c>
      <c r="N24" s="13">
        <f>L24*M24</f>
        <v>1092376.05488</v>
      </c>
      <c r="P24" s="4" t="s">
        <v>8</v>
      </c>
      <c r="Q24" s="13">
        <f>(Q19*0.06)+Q19</f>
        <v>2131.9186400000003</v>
      </c>
      <c r="R24" s="10">
        <f>R19</f>
        <v>484</v>
      </c>
      <c r="S24" s="13">
        <f>Q24*R24</f>
        <v>1031848.6217600001</v>
      </c>
      <c r="U24" s="4" t="s">
        <v>8</v>
      </c>
      <c r="V24" s="13">
        <f>(V19*0.06)+V19</f>
        <v>2072.3678399999999</v>
      </c>
      <c r="W24" s="10">
        <f>H9</f>
        <v>484</v>
      </c>
      <c r="X24" s="13">
        <f>V24*W24</f>
        <v>1003026.0345599999</v>
      </c>
    </row>
    <row r="25" spans="1:24" ht="15.6">
      <c r="A25" s="14"/>
      <c r="B25" s="14"/>
      <c r="C25" s="14"/>
      <c r="D25" s="9"/>
      <c r="E25" s="9"/>
      <c r="F25" s="38"/>
      <c r="G25" s="19"/>
      <c r="H25" s="20"/>
      <c r="I25" s="19"/>
      <c r="J25" s="4"/>
      <c r="K25" s="4" t="s">
        <v>9</v>
      </c>
      <c r="L25" s="13">
        <f>(L20*0.06)+L20</f>
        <v>120161.36603680001</v>
      </c>
      <c r="M25" s="10">
        <v>1</v>
      </c>
      <c r="N25" s="13">
        <f>L25*M25</f>
        <v>120161.36603680001</v>
      </c>
      <c r="P25" s="4" t="s">
        <v>9</v>
      </c>
      <c r="Q25" s="13">
        <f>(Q20*0.06)+Q20</f>
        <v>113503.3483936</v>
      </c>
      <c r="R25" s="10">
        <v>1</v>
      </c>
      <c r="S25" s="13">
        <f>Q25*R25</f>
        <v>113503.3483936</v>
      </c>
      <c r="U25" s="4" t="s">
        <v>9</v>
      </c>
      <c r="V25" s="13">
        <f>(V20*0.06)+V20</f>
        <v>110332.86380159999</v>
      </c>
      <c r="W25" s="10">
        <v>1</v>
      </c>
      <c r="X25" s="13">
        <f>V25*W25</f>
        <v>110332.86380159999</v>
      </c>
    </row>
    <row r="26" spans="1:24" ht="15.6">
      <c r="A26" s="14"/>
      <c r="B26" s="14"/>
      <c r="C26" s="14"/>
      <c r="F26" s="4"/>
      <c r="G26" s="9"/>
      <c r="H26" s="21"/>
      <c r="I26" s="22"/>
      <c r="J26" s="4"/>
      <c r="K26" s="12" t="s">
        <v>6</v>
      </c>
      <c r="N26" s="13">
        <f>SUM(N24:N25)</f>
        <v>1212537.4209167999</v>
      </c>
      <c r="P26" s="12" t="s">
        <v>6</v>
      </c>
      <c r="S26" s="13">
        <f>SUM(S24:S25)</f>
        <v>1145351.9701536002</v>
      </c>
      <c r="U26" s="12" t="s">
        <v>6</v>
      </c>
      <c r="X26" s="13">
        <f>SUM(X24:X25)</f>
        <v>1113358.8983616</v>
      </c>
    </row>
    <row r="27" spans="1:24" ht="15.6">
      <c r="F27" s="23"/>
      <c r="G27" s="23"/>
      <c r="H27" s="34"/>
      <c r="I27" s="24"/>
      <c r="J27" s="4"/>
      <c r="K27" s="12"/>
      <c r="N27" s="13"/>
      <c r="P27" s="12"/>
      <c r="S27" s="13"/>
      <c r="U27" s="12"/>
      <c r="X27" s="13"/>
    </row>
    <row r="28" spans="1:24" ht="15.6">
      <c r="A28" s="1"/>
      <c r="B28" s="1"/>
      <c r="C28" s="1"/>
      <c r="F28" s="25"/>
      <c r="J28" s="4"/>
      <c r="K28" s="12" t="s">
        <v>22</v>
      </c>
      <c r="N28" s="13"/>
      <c r="P28" s="12" t="s">
        <v>22</v>
      </c>
      <c r="S28" s="13"/>
      <c r="U28" s="12" t="s">
        <v>22</v>
      </c>
      <c r="X28" s="13"/>
    </row>
    <row r="29" spans="1:24" ht="15.6">
      <c r="A29" s="36"/>
      <c r="F29" s="23"/>
      <c r="G29" s="26"/>
      <c r="H29" s="11"/>
      <c r="J29" s="4"/>
      <c r="K29" s="4" t="s">
        <v>8</v>
      </c>
      <c r="L29" s="13">
        <f>(L24*0.06)+L24</f>
        <v>2392.3938392</v>
      </c>
      <c r="M29" s="16">
        <f>M19</f>
        <v>484</v>
      </c>
      <c r="N29" s="13">
        <f>L29*M29</f>
        <v>1157918.6181727999</v>
      </c>
      <c r="P29" s="4" t="s">
        <v>8</v>
      </c>
      <c r="Q29" s="13">
        <f>(Q24*0.06)+Q24</f>
        <v>2259.8337584000005</v>
      </c>
      <c r="R29" s="10">
        <f>R24</f>
        <v>484</v>
      </c>
      <c r="S29" s="13">
        <f>Q29*R29</f>
        <v>1093759.5390656004</v>
      </c>
      <c r="U29" s="4" t="s">
        <v>8</v>
      </c>
      <c r="V29" s="13">
        <f>(V24*0.06)+V24</f>
        <v>2196.7099103999999</v>
      </c>
      <c r="W29" s="10">
        <f>H9</f>
        <v>484</v>
      </c>
      <c r="X29" s="13">
        <f>V29*W29</f>
        <v>1063207.5966335998</v>
      </c>
    </row>
    <row r="30" spans="1:24" ht="15.6">
      <c r="A30" s="18"/>
      <c r="B30" s="18"/>
      <c r="C30" s="18"/>
      <c r="F30" s="5"/>
      <c r="J30" s="4"/>
      <c r="K30" s="4" t="s">
        <v>9</v>
      </c>
      <c r="L30" s="13">
        <f>(L25*0.06)+L25</f>
        <v>127371.04799900801</v>
      </c>
      <c r="M30" s="10">
        <v>1</v>
      </c>
      <c r="N30" s="13">
        <f>L30*M30</f>
        <v>127371.04799900801</v>
      </c>
      <c r="P30" s="4" t="s">
        <v>9</v>
      </c>
      <c r="Q30" s="13">
        <f>(Q25*0.06)+Q25</f>
        <v>120313.549297216</v>
      </c>
      <c r="R30" s="10">
        <v>1</v>
      </c>
      <c r="S30" s="13">
        <f>Q30*R30</f>
        <v>120313.549297216</v>
      </c>
      <c r="U30" s="4" t="s">
        <v>9</v>
      </c>
      <c r="V30" s="13">
        <f>(V25*0.06)+V25</f>
        <v>116952.83562969598</v>
      </c>
      <c r="W30" s="10">
        <v>1</v>
      </c>
      <c r="X30" s="13">
        <f>V30*W30</f>
        <v>116952.83562969598</v>
      </c>
    </row>
    <row r="31" spans="1:24" ht="15.6">
      <c r="A31" s="18"/>
      <c r="B31" s="18"/>
      <c r="C31" s="18"/>
      <c r="K31" s="12" t="s">
        <v>6</v>
      </c>
      <c r="N31" s="13">
        <f>SUM(N29:N30)</f>
        <v>1285289.666171808</v>
      </c>
      <c r="P31" s="12" t="s">
        <v>6</v>
      </c>
      <c r="S31" s="13">
        <f>SUM(S29:S30)</f>
        <v>1214073.0883628163</v>
      </c>
      <c r="U31" s="12" t="s">
        <v>6</v>
      </c>
      <c r="X31" s="13">
        <f>SUM(X29:X30)</f>
        <v>1180160.4322632959</v>
      </c>
    </row>
    <row r="32" spans="1:24" ht="15.6">
      <c r="A32" s="18"/>
      <c r="B32" s="18"/>
      <c r="C32" s="18"/>
      <c r="K32" s="12"/>
      <c r="N32" s="13"/>
      <c r="P32" s="12"/>
      <c r="Q32" s="9"/>
      <c r="S32" s="27"/>
      <c r="U32" s="12"/>
      <c r="V32" s="9"/>
      <c r="X32" s="27"/>
    </row>
    <row r="33" spans="1:25" ht="15.6">
      <c r="A33" s="18"/>
      <c r="B33" s="18"/>
      <c r="C33" s="18"/>
      <c r="G33" s="26"/>
      <c r="I33" s="11"/>
      <c r="K33" s="12" t="s">
        <v>6</v>
      </c>
      <c r="L33" s="9"/>
      <c r="M33" s="17"/>
      <c r="N33" s="4">
        <f>SUM(N21+N16+N11+N26+N31)</f>
        <v>5738954.1023686081</v>
      </c>
      <c r="P33" s="12" t="s">
        <v>23</v>
      </c>
      <c r="Q33" s="4"/>
      <c r="S33" s="26"/>
      <c r="U33" s="12" t="s">
        <v>23</v>
      </c>
      <c r="V33" s="4"/>
      <c r="X33" s="26"/>
    </row>
    <row r="34" spans="1:25" ht="15.6">
      <c r="A34" s="18"/>
      <c r="B34" s="18"/>
      <c r="C34" s="18"/>
      <c r="K34" s="2"/>
      <c r="N34" s="11"/>
      <c r="P34" s="4" t="s">
        <v>8</v>
      </c>
      <c r="Q34" s="13">
        <f>(Q29*0.06)+Q29</f>
        <v>2395.4237839040006</v>
      </c>
      <c r="R34" s="10">
        <f>R29</f>
        <v>484</v>
      </c>
      <c r="S34" s="13">
        <f>Q34*R34</f>
        <v>1159385.1114095363</v>
      </c>
      <c r="U34" s="4" t="s">
        <v>8</v>
      </c>
      <c r="V34" s="13">
        <f>(V29*0.06)+V29</f>
        <v>2328.5125050239999</v>
      </c>
      <c r="W34" s="10">
        <f>H9</f>
        <v>484</v>
      </c>
      <c r="X34" s="13">
        <f>V34*W34</f>
        <v>1127000.052431616</v>
      </c>
    </row>
    <row r="35" spans="1:25" ht="15.6">
      <c r="K35" s="12"/>
      <c r="L35" s="9"/>
      <c r="M35" s="21"/>
      <c r="N35" s="22"/>
      <c r="P35" s="4" t="s">
        <v>9</v>
      </c>
      <c r="Q35" s="13">
        <f>(Q30*0.06)+Q30</f>
        <v>127532.36225504895</v>
      </c>
      <c r="R35" s="10">
        <v>1</v>
      </c>
      <c r="S35" s="13">
        <f>Q35*R35</f>
        <v>127532.36225504895</v>
      </c>
      <c r="U35" s="4" t="s">
        <v>9</v>
      </c>
      <c r="V35" s="13">
        <f>(V30*0.06)+V30</f>
        <v>123970.00576747773</v>
      </c>
      <c r="W35" s="10">
        <v>1</v>
      </c>
      <c r="X35" s="13">
        <f>V35*W35</f>
        <v>123970.00576747773</v>
      </c>
    </row>
    <row r="36" spans="1:25" ht="15.6">
      <c r="K36" s="23"/>
      <c r="L36" s="23"/>
      <c r="M36" s="34"/>
      <c r="N36" s="24"/>
      <c r="P36" s="12" t="s">
        <v>6</v>
      </c>
      <c r="S36" s="13">
        <f>SUM(S34:S35)</f>
        <v>1286917.4736645853</v>
      </c>
      <c r="U36" s="12" t="s">
        <v>6</v>
      </c>
      <c r="X36" s="13">
        <f>SUM(X34:X35)</f>
        <v>1250970.0581990937</v>
      </c>
    </row>
    <row r="37" spans="1:25" ht="15.6">
      <c r="K37" s="4"/>
      <c r="L37" s="13"/>
      <c r="M37" s="10"/>
      <c r="N37" s="13"/>
      <c r="P37" s="12"/>
      <c r="S37" s="13"/>
      <c r="U37" s="12"/>
      <c r="X37" s="13"/>
    </row>
    <row r="38" spans="1:25" ht="15.6">
      <c r="J38" s="4"/>
      <c r="K38" s="12"/>
      <c r="L38" s="9"/>
      <c r="M38" s="11"/>
      <c r="N38" s="27"/>
      <c r="P38" s="12" t="s">
        <v>24</v>
      </c>
      <c r="Q38" s="4"/>
      <c r="S38" s="26"/>
      <c r="U38" s="12" t="s">
        <v>24</v>
      </c>
      <c r="V38" s="4"/>
      <c r="X38" s="26"/>
    </row>
    <row r="39" spans="1:25" ht="15.6">
      <c r="J39" s="4"/>
      <c r="K39" s="28"/>
      <c r="L39" s="29" t="s">
        <v>25</v>
      </c>
      <c r="M39" s="28"/>
      <c r="N39" s="30">
        <f>(I11-N11)+(I16-N16)+(I21-N21)</f>
        <v>188139.29903999949</v>
      </c>
      <c r="P39" s="4" t="s">
        <v>8</v>
      </c>
      <c r="Q39" s="13">
        <f>(Q34*0.06)+Q34</f>
        <v>2539.1492109382407</v>
      </c>
      <c r="R39" s="10">
        <f>R34</f>
        <v>484</v>
      </c>
      <c r="S39" s="13">
        <f>Q39*R39</f>
        <v>1228948.2180941084</v>
      </c>
      <c r="U39" s="4" t="s">
        <v>8</v>
      </c>
      <c r="V39" s="13">
        <f>(V34*0.06)+V34</f>
        <v>2468.2232553254398</v>
      </c>
      <c r="W39" s="10">
        <f>H9</f>
        <v>484</v>
      </c>
      <c r="X39" s="13">
        <f>V39*W39</f>
        <v>1194620.0555775128</v>
      </c>
    </row>
    <row r="40" spans="1:25" ht="15.6">
      <c r="J40" s="4"/>
      <c r="K40" s="5"/>
      <c r="M40" s="32"/>
      <c r="N40" s="4"/>
      <c r="P40" s="4" t="s">
        <v>9</v>
      </c>
      <c r="Q40" s="13">
        <f>(Q35*0.06)+Q35</f>
        <v>135184.30399035188</v>
      </c>
      <c r="R40" s="10">
        <v>1</v>
      </c>
      <c r="S40" s="13">
        <f>Q40*R40</f>
        <v>135184.30399035188</v>
      </c>
      <c r="U40" s="4" t="s">
        <v>9</v>
      </c>
      <c r="V40" s="13">
        <f>(V35*0.06)+V35</f>
        <v>131408.20611352639</v>
      </c>
      <c r="W40" s="10">
        <v>1</v>
      </c>
      <c r="X40" s="13">
        <f>V40*W40</f>
        <v>131408.20611352639</v>
      </c>
    </row>
    <row r="41" spans="1:25" ht="15.6">
      <c r="J41" s="4"/>
      <c r="K41" s="5"/>
      <c r="M41" s="31"/>
      <c r="P41" s="12" t="s">
        <v>6</v>
      </c>
      <c r="S41" s="13">
        <f>SUM(S39:S40)</f>
        <v>1364132.5220844604</v>
      </c>
      <c r="U41" s="12" t="s">
        <v>6</v>
      </c>
      <c r="X41" s="13">
        <f>SUM(X39:X40)</f>
        <v>1326028.2616910392</v>
      </c>
    </row>
    <row r="42" spans="1:25" ht="15.6">
      <c r="G42" s="5"/>
      <c r="I42" s="31"/>
      <c r="J42" s="4"/>
      <c r="L42" s="5"/>
      <c r="M42" s="31"/>
      <c r="P42" s="12"/>
      <c r="S42" s="13"/>
      <c r="U42" s="12"/>
      <c r="X42" s="13"/>
    </row>
    <row r="43" spans="1:25" ht="15.6">
      <c r="G43" s="5"/>
      <c r="I43" s="31"/>
      <c r="J43" s="4"/>
      <c r="L43" s="5"/>
      <c r="M43" s="31"/>
      <c r="P43" s="41" t="s">
        <v>6</v>
      </c>
      <c r="S43" s="15">
        <f>SUM(S41+S36+S31+S26+S21+S16+S11)</f>
        <v>8072014.5568254618</v>
      </c>
      <c r="U43" s="40" t="s">
        <v>6</v>
      </c>
      <c r="X43" s="15">
        <f>SUM(X41+X36+X31+X26+X21+X16+X11)</f>
        <v>7846539.2898750287</v>
      </c>
      <c r="Y43" t="s">
        <v>28</v>
      </c>
    </row>
    <row r="44" spans="1:25" ht="15.6">
      <c r="H44" s="5"/>
      <c r="I44" s="31"/>
      <c r="J44" s="4"/>
      <c r="K44" s="26"/>
      <c r="N44" s="31"/>
      <c r="O44" s="28"/>
      <c r="R44" s="17"/>
      <c r="S44" s="4"/>
      <c r="W44" s="17"/>
      <c r="X44" s="4"/>
    </row>
    <row r="45" spans="1:25" ht="15.6">
      <c r="H45" s="5"/>
      <c r="I45" s="31"/>
      <c r="J45" s="4"/>
      <c r="P45" s="38"/>
      <c r="S45" s="15"/>
      <c r="U45" s="40"/>
      <c r="X45" s="36"/>
    </row>
    <row r="46" spans="1:25" ht="15.6">
      <c r="J46" s="4"/>
      <c r="R46" s="11"/>
    </row>
    <row r="47" spans="1:25" ht="15.6">
      <c r="J47" s="4"/>
      <c r="K47" s="26"/>
      <c r="P47" s="5"/>
      <c r="Q47" s="5"/>
      <c r="S47" s="36"/>
      <c r="U47" s="15"/>
      <c r="X47" s="36"/>
    </row>
    <row r="48" spans="1:25" ht="15.6">
      <c r="J48" s="4"/>
      <c r="P48" s="36"/>
      <c r="R48" s="11"/>
      <c r="U48" s="15"/>
    </row>
    <row r="49" spans="10:23" ht="15.6">
      <c r="J49" s="4"/>
      <c r="K49" s="26"/>
    </row>
    <row r="50" spans="10:23" ht="15.6">
      <c r="P50" s="5"/>
      <c r="R50" s="31"/>
      <c r="U50" s="35"/>
      <c r="W50" s="31"/>
    </row>
    <row r="51" spans="10:23" ht="15.6">
      <c r="P51" s="5"/>
      <c r="R51" s="33"/>
      <c r="U51" s="5"/>
      <c r="W51" s="33"/>
    </row>
    <row r="52" spans="10:23" ht="15.6">
      <c r="Q52" s="5"/>
      <c r="R52" s="31"/>
      <c r="U52" s="36"/>
      <c r="V52" s="5"/>
      <c r="W52" s="31"/>
    </row>
    <row r="53" spans="10:23" ht="15.6">
      <c r="Q53" s="5"/>
      <c r="R53" s="31"/>
      <c r="U53" s="36"/>
      <c r="V53" s="5"/>
      <c r="W53" s="31"/>
    </row>
    <row r="54" spans="10:23" ht="15.6"/>
    <row r="55" spans="10:23" ht="15.6">
      <c r="U55" s="36"/>
    </row>
    <row r="57" spans="10:23" ht="15.6"/>
    <row r="58" spans="10:23" ht="15.6"/>
    <row r="59" spans="10:23" ht="15.6"/>
    <row r="60" spans="10:23" ht="15.6"/>
    <row r="61" spans="10:23" ht="15.6"/>
    <row r="62" spans="10:23" ht="15.6"/>
    <row r="65" ht="15.6"/>
    <row r="67" ht="15.6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D365F-5164-1745-B413-1C4CB7030F4E}">
  <dimension ref="A1:K38"/>
  <sheetViews>
    <sheetView topLeftCell="A13" workbookViewId="0">
      <selection activeCell="I35" sqref="I35"/>
    </sheetView>
  </sheetViews>
  <sheetFormatPr defaultColWidth="11.19921875" defaultRowHeight="15.6"/>
  <cols>
    <col min="1" max="1" width="13.69921875" customWidth="1"/>
    <col min="4" max="4" width="15.5" customWidth="1"/>
    <col min="8" max="9" width="11.796875" bestFit="1" customWidth="1"/>
    <col min="10" max="10" width="13.19921875" bestFit="1" customWidth="1"/>
    <col min="11" max="11" width="13.296875" bestFit="1" customWidth="1"/>
  </cols>
  <sheetData>
    <row r="1" spans="1:10">
      <c r="A1" s="2" t="s">
        <v>42</v>
      </c>
      <c r="G1" s="2" t="s">
        <v>43</v>
      </c>
    </row>
    <row r="2" spans="1:10">
      <c r="A2" s="6" t="s">
        <v>13</v>
      </c>
      <c r="G2" s="6" t="s">
        <v>13</v>
      </c>
    </row>
    <row r="3" spans="1:10">
      <c r="A3" s="39" t="s">
        <v>14</v>
      </c>
      <c r="G3" s="39" t="s">
        <v>14</v>
      </c>
    </row>
    <row r="4" spans="1:10">
      <c r="A4" s="8"/>
      <c r="B4" s="7" t="s">
        <v>4</v>
      </c>
      <c r="C4" s="7" t="s">
        <v>5</v>
      </c>
      <c r="D4" s="7" t="s">
        <v>6</v>
      </c>
      <c r="G4" s="8"/>
      <c r="H4" s="7" t="s">
        <v>4</v>
      </c>
      <c r="I4" s="7" t="s">
        <v>5</v>
      </c>
      <c r="J4" s="7" t="s">
        <v>6</v>
      </c>
    </row>
    <row r="5" spans="1:10">
      <c r="A5" s="12" t="s">
        <v>7</v>
      </c>
      <c r="B5" s="4"/>
      <c r="G5" s="12" t="s">
        <v>7</v>
      </c>
      <c r="H5" s="4"/>
    </row>
    <row r="6" spans="1:10">
      <c r="A6" s="4" t="s">
        <v>8</v>
      </c>
      <c r="B6" s="13">
        <v>1970</v>
      </c>
      <c r="C6" s="10">
        <v>547</v>
      </c>
      <c r="D6" s="13">
        <f>B6*C6</f>
        <v>1077590</v>
      </c>
      <c r="G6" s="4" t="s">
        <v>8</v>
      </c>
      <c r="H6" s="13">
        <v>1725</v>
      </c>
      <c r="I6" s="10">
        <v>547</v>
      </c>
      <c r="J6" s="13">
        <f>H6*I6</f>
        <v>943575</v>
      </c>
    </row>
    <row r="7" spans="1:10">
      <c r="A7" s="4" t="s">
        <v>9</v>
      </c>
      <c r="B7" s="13">
        <f>D6*0.11</f>
        <v>118534.9</v>
      </c>
      <c r="C7" s="10">
        <v>1</v>
      </c>
      <c r="D7" s="13">
        <f>B7*C7</f>
        <v>118534.9</v>
      </c>
      <c r="G7" s="4" t="s">
        <v>9</v>
      </c>
      <c r="H7" s="13">
        <f>J6*0.11</f>
        <v>103793.25</v>
      </c>
      <c r="I7" s="10">
        <v>1</v>
      </c>
      <c r="J7" s="13">
        <f>H7*I7</f>
        <v>103793.25</v>
      </c>
    </row>
    <row r="8" spans="1:10">
      <c r="A8" s="12" t="s">
        <v>6</v>
      </c>
      <c r="D8" s="13">
        <f>SUM(D6:D7)</f>
        <v>1196124.8999999999</v>
      </c>
      <c r="G8" s="12" t="s">
        <v>6</v>
      </c>
      <c r="J8" s="13">
        <f>SUM(J6:J7)</f>
        <v>1047368.25</v>
      </c>
    </row>
    <row r="9" spans="1:10">
      <c r="A9" s="10"/>
      <c r="D9" s="13"/>
      <c r="G9" s="10"/>
      <c r="J9" s="13"/>
    </row>
    <row r="10" spans="1:10">
      <c r="A10" s="12" t="s">
        <v>19</v>
      </c>
      <c r="B10" s="4"/>
      <c r="D10" s="15"/>
      <c r="G10" s="12" t="s">
        <v>19</v>
      </c>
      <c r="H10" s="4"/>
      <c r="J10" s="15"/>
    </row>
    <row r="11" spans="1:10">
      <c r="A11" s="4" t="s">
        <v>8</v>
      </c>
      <c r="B11" s="13">
        <v>2125</v>
      </c>
      <c r="C11" s="10">
        <v>484</v>
      </c>
      <c r="D11" s="13">
        <f>B11*C11</f>
        <v>1028500</v>
      </c>
      <c r="G11" s="4" t="s">
        <v>8</v>
      </c>
      <c r="H11" s="13">
        <v>2009</v>
      </c>
      <c r="I11" s="10">
        <v>484</v>
      </c>
      <c r="J11" s="13">
        <f>H11*I11</f>
        <v>972356</v>
      </c>
    </row>
    <row r="12" spans="1:10">
      <c r="A12" s="4" t="s">
        <v>9</v>
      </c>
      <c r="B12" s="13">
        <f>D11*0.12</f>
        <v>123420</v>
      </c>
      <c r="C12" s="10">
        <v>1</v>
      </c>
      <c r="D12" s="13">
        <f>B12*C12</f>
        <v>123420</v>
      </c>
      <c r="G12" s="4" t="s">
        <v>9</v>
      </c>
      <c r="H12" s="13">
        <f>J11*0.12</f>
        <v>116682.72</v>
      </c>
      <c r="I12" s="10">
        <v>1</v>
      </c>
      <c r="J12" s="13">
        <f>H12*I12</f>
        <v>116682.72</v>
      </c>
    </row>
    <row r="13" spans="1:10">
      <c r="A13" s="12" t="s">
        <v>6</v>
      </c>
      <c r="D13" s="13">
        <f>SUM(D11:D12)</f>
        <v>1151920</v>
      </c>
      <c r="G13" s="12" t="s">
        <v>6</v>
      </c>
      <c r="J13" s="13">
        <f>SUM(J11:J12)</f>
        <v>1089038.72</v>
      </c>
    </row>
    <row r="14" spans="1:10">
      <c r="A14" s="12"/>
      <c r="D14" s="13"/>
      <c r="G14" s="12"/>
      <c r="J14" s="13"/>
    </row>
    <row r="15" spans="1:10">
      <c r="A15" s="12" t="s">
        <v>20</v>
      </c>
      <c r="B15" s="9"/>
      <c r="G15" s="12" t="s">
        <v>20</v>
      </c>
      <c r="H15" s="9"/>
    </row>
    <row r="16" spans="1:10">
      <c r="A16" s="4" t="s">
        <v>8</v>
      </c>
      <c r="B16" s="13">
        <f>(B11*0.06)+B11</f>
        <v>2252.5</v>
      </c>
      <c r="C16" s="10">
        <f>C11</f>
        <v>484</v>
      </c>
      <c r="D16" s="13">
        <f>B16*C16</f>
        <v>1090210</v>
      </c>
      <c r="G16" s="4" t="s">
        <v>8</v>
      </c>
      <c r="H16" s="13">
        <f>(H11*0.06)+H11</f>
        <v>2129.54</v>
      </c>
      <c r="I16" s="10">
        <f>I11</f>
        <v>484</v>
      </c>
      <c r="J16" s="13">
        <f>H16*I16</f>
        <v>1030697.36</v>
      </c>
    </row>
    <row r="17" spans="1:11">
      <c r="A17" s="4" t="s">
        <v>9</v>
      </c>
      <c r="B17" s="13">
        <f>(B12*0.06)+B12</f>
        <v>130825.2</v>
      </c>
      <c r="C17" s="10">
        <v>1</v>
      </c>
      <c r="D17" s="13">
        <f>B17*C17</f>
        <v>130825.2</v>
      </c>
      <c r="G17" s="4" t="s">
        <v>9</v>
      </c>
      <c r="H17" s="13">
        <f>(H12*0.06)+H12</f>
        <v>123683.6832</v>
      </c>
      <c r="I17" s="10">
        <v>1</v>
      </c>
      <c r="J17" s="13">
        <f>H17*I17</f>
        <v>123683.6832</v>
      </c>
    </row>
    <row r="18" spans="1:11">
      <c r="A18" s="12" t="s">
        <v>6</v>
      </c>
      <c r="D18" s="13">
        <f>SUM(D16:D17)</f>
        <v>1221035.2</v>
      </c>
      <c r="G18" s="12" t="s">
        <v>6</v>
      </c>
      <c r="J18" s="13">
        <f>SUM(J16:J17)</f>
        <v>1154381.0432</v>
      </c>
    </row>
    <row r="19" spans="1:11">
      <c r="A19" s="12"/>
      <c r="D19" s="13"/>
      <c r="G19" s="12"/>
      <c r="J19" s="13"/>
    </row>
    <row r="20" spans="1:11">
      <c r="A20" s="12" t="s">
        <v>6</v>
      </c>
      <c r="B20" s="9"/>
      <c r="C20" s="17"/>
      <c r="D20" s="4">
        <f>SUM(D18+D13+D8)</f>
        <v>3569080.1</v>
      </c>
      <c r="G20" s="12" t="s">
        <v>21</v>
      </c>
      <c r="H20" s="4"/>
      <c r="J20" s="15"/>
    </row>
    <row r="21" spans="1:11">
      <c r="G21" s="4" t="s">
        <v>8</v>
      </c>
      <c r="H21" s="13">
        <f>H16*1.06</f>
        <v>2257.3124000000003</v>
      </c>
      <c r="I21" s="10">
        <v>484</v>
      </c>
      <c r="J21" s="13">
        <f>H21*I21</f>
        <v>1092539.2016</v>
      </c>
    </row>
    <row r="22" spans="1:11">
      <c r="D22" s="11"/>
      <c r="G22" s="4" t="s">
        <v>9</v>
      </c>
      <c r="H22" s="13">
        <f>J21*0.12</f>
        <v>131104.704192</v>
      </c>
      <c r="I22" s="10">
        <v>1</v>
      </c>
      <c r="J22" s="13">
        <f>H22*I22</f>
        <v>131104.704192</v>
      </c>
    </row>
    <row r="23" spans="1:11">
      <c r="G23" s="12" t="s">
        <v>6</v>
      </c>
      <c r="J23" s="13">
        <f>SUM(J21:J22)</f>
        <v>1223643.905792</v>
      </c>
    </row>
    <row r="24" spans="1:11">
      <c r="G24" s="12"/>
      <c r="J24" s="13"/>
    </row>
    <row r="25" spans="1:11">
      <c r="D25" s="46"/>
      <c r="G25" s="12" t="s">
        <v>22</v>
      </c>
      <c r="H25" s="9"/>
    </row>
    <row r="26" spans="1:11">
      <c r="G26" s="4" t="s">
        <v>8</v>
      </c>
      <c r="H26" s="13">
        <f>(H21*0.06)+H21</f>
        <v>2392.7511440000003</v>
      </c>
      <c r="I26" s="10">
        <f>I21</f>
        <v>484</v>
      </c>
      <c r="J26" s="13">
        <f>H26*I26</f>
        <v>1158091.5536960003</v>
      </c>
    </row>
    <row r="27" spans="1:11">
      <c r="G27" s="4" t="s">
        <v>9</v>
      </c>
      <c r="H27" s="13">
        <f>(H22*0.06)+H22</f>
        <v>138970.98644352</v>
      </c>
      <c r="I27" s="10">
        <v>1</v>
      </c>
      <c r="J27" s="13">
        <f>H27*I27</f>
        <v>138970.98644352</v>
      </c>
    </row>
    <row r="28" spans="1:11">
      <c r="G28" s="12" t="s">
        <v>6</v>
      </c>
      <c r="J28" s="13">
        <f>SUM(J26:J27)</f>
        <v>1297062.5401395203</v>
      </c>
    </row>
    <row r="29" spans="1:11">
      <c r="G29" s="12"/>
      <c r="J29" s="13"/>
    </row>
    <row r="30" spans="1:11">
      <c r="G30" s="12" t="s">
        <v>6</v>
      </c>
      <c r="H30" s="9"/>
      <c r="I30" s="17"/>
      <c r="J30" s="4">
        <f>SUM(J18+J13+J8+J23+J28)</f>
        <v>5811494.4591315202</v>
      </c>
      <c r="K30" s="11"/>
    </row>
    <row r="33" spans="8:11">
      <c r="K33" s="46"/>
    </row>
    <row r="35" spans="8:11">
      <c r="H35" s="11"/>
    </row>
    <row r="38" spans="8:11">
      <c r="I38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9BA3-373B-BF4E-99B0-08864BC3D69C}">
  <dimension ref="A1:R74"/>
  <sheetViews>
    <sheetView tabSelected="1" workbookViewId="0">
      <selection activeCell="J56" sqref="J56"/>
    </sheetView>
  </sheetViews>
  <sheetFormatPr defaultColWidth="11.19921875" defaultRowHeight="15.6"/>
  <cols>
    <col min="1" max="1" width="34.19921875" customWidth="1"/>
    <col min="2" max="2" width="11.19921875" bestFit="1" customWidth="1"/>
    <col min="4" max="4" width="19.19921875" customWidth="1"/>
    <col min="7" max="7" width="12.69921875" bestFit="1" customWidth="1"/>
    <col min="10" max="10" width="24.69921875" customWidth="1"/>
    <col min="11" max="12" width="13.19921875" customWidth="1"/>
    <col min="13" max="13" width="16.69921875" customWidth="1"/>
    <col min="14" max="14" width="11.19921875" bestFit="1" customWidth="1"/>
    <col min="16" max="16" width="15.19921875" customWidth="1"/>
  </cols>
  <sheetData>
    <row r="1" spans="1:18">
      <c r="A1" s="2" t="s">
        <v>45</v>
      </c>
      <c r="G1" s="2" t="s">
        <v>46</v>
      </c>
      <c r="M1" s="2" t="s">
        <v>48</v>
      </c>
    </row>
    <row r="2" spans="1:18">
      <c r="A2" s="6" t="s">
        <v>13</v>
      </c>
      <c r="G2" s="6" t="s">
        <v>13</v>
      </c>
      <c r="M2" s="6" t="s">
        <v>13</v>
      </c>
    </row>
    <row r="3" spans="1:18">
      <c r="A3" s="39" t="s">
        <v>14</v>
      </c>
      <c r="G3" s="39" t="s">
        <v>14</v>
      </c>
      <c r="M3" s="39" t="s">
        <v>14</v>
      </c>
    </row>
    <row r="4" spans="1:18">
      <c r="A4" s="8"/>
      <c r="B4" s="7" t="s">
        <v>4</v>
      </c>
      <c r="C4" s="7" t="s">
        <v>5</v>
      </c>
      <c r="D4" s="7" t="s">
        <v>6</v>
      </c>
      <c r="E4" s="7" t="s">
        <v>52</v>
      </c>
      <c r="G4" s="8"/>
      <c r="H4" s="7" t="s">
        <v>4</v>
      </c>
      <c r="I4" s="7" t="s">
        <v>5</v>
      </c>
      <c r="J4" s="7" t="s">
        <v>6</v>
      </c>
      <c r="K4" s="7" t="s">
        <v>52</v>
      </c>
      <c r="M4" s="8"/>
      <c r="N4" s="7" t="s">
        <v>4</v>
      </c>
      <c r="O4" s="7" t="s">
        <v>5</v>
      </c>
      <c r="P4" s="7" t="s">
        <v>6</v>
      </c>
      <c r="Q4" s="7" t="s">
        <v>52</v>
      </c>
    </row>
    <row r="5" spans="1:18">
      <c r="A5" s="12" t="s">
        <v>7</v>
      </c>
      <c r="B5" s="4"/>
      <c r="G5" s="12" t="s">
        <v>7</v>
      </c>
      <c r="H5" s="4"/>
      <c r="M5" s="12" t="s">
        <v>7</v>
      </c>
      <c r="N5" s="4"/>
    </row>
    <row r="6" spans="1:18">
      <c r="A6" s="4" t="s">
        <v>8</v>
      </c>
      <c r="B6" s="13">
        <v>1630</v>
      </c>
      <c r="C6" s="10">
        <v>547</v>
      </c>
      <c r="D6" s="13">
        <f>B6*C6</f>
        <v>891610</v>
      </c>
      <c r="E6" s="51">
        <f>(D6-'Regional Contract w Douglas'!D9)/'Regional Contract w Douglas'!D9</f>
        <v>0.17553675848767983</v>
      </c>
      <c r="F6" s="15"/>
      <c r="G6" s="4" t="s">
        <v>8</v>
      </c>
      <c r="H6" s="13">
        <v>1765</v>
      </c>
      <c r="I6" s="10">
        <v>547</v>
      </c>
      <c r="J6" s="13">
        <f>H6*I6</f>
        <v>965455</v>
      </c>
      <c r="K6" s="45">
        <f>(J6-'Regional Contract w Douglas'!D9)/'Regional Contract w Douglas'!D9</f>
        <v>0.27289716486549381</v>
      </c>
      <c r="L6" s="45"/>
      <c r="M6" s="4" t="s">
        <v>8</v>
      </c>
      <c r="N6" s="13">
        <v>1550</v>
      </c>
      <c r="O6" s="10">
        <v>547</v>
      </c>
      <c r="P6" s="13">
        <f>N6*O6</f>
        <v>847850</v>
      </c>
      <c r="Q6" s="51">
        <f>(P6-'Regional Contract w Douglas'!D9)/'Regional Contract w Douglas'!D9</f>
        <v>0.11784170285638265</v>
      </c>
      <c r="R6" s="15"/>
    </row>
    <row r="7" spans="1:18">
      <c r="A7" s="4" t="s">
        <v>9</v>
      </c>
      <c r="B7" s="13">
        <f>D6*0.11</f>
        <v>98077.1</v>
      </c>
      <c r="C7" s="10">
        <v>1</v>
      </c>
      <c r="D7" s="13">
        <f>B7*C7</f>
        <v>98077.1</v>
      </c>
      <c r="E7" s="26"/>
      <c r="F7" s="26"/>
      <c r="G7" s="4" t="s">
        <v>9</v>
      </c>
      <c r="H7" s="9">
        <f>J6*0.11</f>
        <v>106200.05</v>
      </c>
      <c r="I7" s="10">
        <v>1</v>
      </c>
      <c r="J7" s="13">
        <f>H7*I7</f>
        <v>106200.05</v>
      </c>
      <c r="M7" s="4" t="s">
        <v>9</v>
      </c>
      <c r="N7" s="9">
        <f>P6*0.11</f>
        <v>93263.5</v>
      </c>
      <c r="O7" s="10">
        <v>1</v>
      </c>
      <c r="P7" s="13">
        <f>N7*O7</f>
        <v>93263.5</v>
      </c>
    </row>
    <row r="8" spans="1:18">
      <c r="A8" s="12" t="s">
        <v>6</v>
      </c>
      <c r="B8" s="26"/>
      <c r="D8" s="13">
        <f>SUM(D6:D7)</f>
        <v>989687.1</v>
      </c>
      <c r="E8" s="48"/>
      <c r="F8" s="48"/>
      <c r="G8" s="12" t="s">
        <v>6</v>
      </c>
      <c r="H8" s="26"/>
      <c r="J8" s="13">
        <f>SUM(J6:J7)</f>
        <v>1071655.05</v>
      </c>
      <c r="K8" s="26"/>
      <c r="L8" s="26"/>
      <c r="M8" s="4" t="s">
        <v>44</v>
      </c>
      <c r="N8" s="13">
        <v>105000</v>
      </c>
      <c r="O8" s="10">
        <v>1</v>
      </c>
      <c r="P8" s="13">
        <f>N8*O8</f>
        <v>105000</v>
      </c>
    </row>
    <row r="9" spans="1:18">
      <c r="A9" s="10"/>
      <c r="B9" s="26"/>
      <c r="D9" s="13"/>
      <c r="E9" s="26"/>
      <c r="F9" s="26"/>
      <c r="G9" s="10"/>
      <c r="H9" s="26"/>
      <c r="J9" s="13"/>
      <c r="M9" s="12" t="s">
        <v>6</v>
      </c>
      <c r="N9" s="26"/>
      <c r="P9" s="13">
        <f>SUM(P6:P8)</f>
        <v>1046113.5</v>
      </c>
      <c r="Q9" s="15"/>
    </row>
    <row r="10" spans="1:18">
      <c r="A10" s="12" t="s">
        <v>19</v>
      </c>
      <c r="B10" s="9"/>
      <c r="D10" s="15"/>
      <c r="E10" s="47"/>
      <c r="F10" s="47"/>
      <c r="G10" s="12" t="s">
        <v>19</v>
      </c>
      <c r="H10" s="9"/>
      <c r="J10" s="15"/>
      <c r="K10" s="26"/>
      <c r="L10" s="26"/>
      <c r="M10" s="10"/>
      <c r="N10" s="26"/>
      <c r="P10" s="13"/>
    </row>
    <row r="11" spans="1:18">
      <c r="A11" s="4" t="s">
        <v>8</v>
      </c>
      <c r="B11" s="13">
        <f>B6*1.1</f>
        <v>1793.0000000000002</v>
      </c>
      <c r="C11" s="10">
        <v>484</v>
      </c>
      <c r="D11" s="13">
        <f>B11*C11</f>
        <v>867812.00000000012</v>
      </c>
      <c r="E11" s="45">
        <f>(B11-B6)/B6</f>
        <v>0.10000000000000014</v>
      </c>
      <c r="F11" s="45"/>
      <c r="G11" s="4" t="s">
        <v>8</v>
      </c>
      <c r="H11" s="9">
        <f>H6*1.05</f>
        <v>1853.25</v>
      </c>
      <c r="I11" s="10">
        <v>484</v>
      </c>
      <c r="J11" s="13">
        <f>H11*I11</f>
        <v>896973</v>
      </c>
      <c r="K11" s="45">
        <f>(H11-H6)/H6</f>
        <v>0.05</v>
      </c>
      <c r="M11" s="12" t="s">
        <v>19</v>
      </c>
      <c r="N11" s="9"/>
      <c r="P11" s="15"/>
    </row>
    <row r="12" spans="1:18">
      <c r="A12" s="4" t="s">
        <v>9</v>
      </c>
      <c r="B12" s="13">
        <f>D11*0.12</f>
        <v>104137.44000000002</v>
      </c>
      <c r="C12" s="10">
        <v>1</v>
      </c>
      <c r="D12" s="13">
        <f>B12*C12</f>
        <v>104137.44000000002</v>
      </c>
      <c r="E12" s="45"/>
      <c r="F12" s="45"/>
      <c r="G12" s="4" t="s">
        <v>9</v>
      </c>
      <c r="H12" s="13">
        <f>J11*0.12</f>
        <v>107636.76</v>
      </c>
      <c r="I12" s="10">
        <v>1</v>
      </c>
      <c r="J12" s="13">
        <f>H12*I12</f>
        <v>107636.76</v>
      </c>
      <c r="K12" s="45"/>
      <c r="L12" s="45"/>
      <c r="M12" s="4" t="s">
        <v>8</v>
      </c>
      <c r="N12" s="13">
        <f>N6*1.1</f>
        <v>1705.0000000000002</v>
      </c>
      <c r="O12" s="10">
        <v>484</v>
      </c>
      <c r="P12" s="13">
        <f>N12*O12</f>
        <v>825220.00000000012</v>
      </c>
      <c r="Q12" s="45">
        <f>(N12-N6)/N6</f>
        <v>0.10000000000000014</v>
      </c>
    </row>
    <row r="13" spans="1:18">
      <c r="A13" s="12" t="s">
        <v>6</v>
      </c>
      <c r="B13" s="26"/>
      <c r="D13" s="13">
        <f>SUM(D11:D12)</f>
        <v>971949.44000000018</v>
      </c>
      <c r="G13" s="12" t="s">
        <v>6</v>
      </c>
      <c r="H13" s="26"/>
      <c r="J13" s="13">
        <f>SUM(J11:J12)</f>
        <v>1004609.76</v>
      </c>
      <c r="M13" s="4" t="s">
        <v>9</v>
      </c>
      <c r="N13" s="13">
        <f>P12*0.12</f>
        <v>99026.400000000009</v>
      </c>
      <c r="O13" s="10">
        <v>1</v>
      </c>
      <c r="P13" s="13">
        <f>N13*O13</f>
        <v>99026.400000000009</v>
      </c>
    </row>
    <row r="14" spans="1:18">
      <c r="A14" s="12"/>
      <c r="B14" s="26"/>
      <c r="D14" s="13"/>
      <c r="G14" s="12"/>
      <c r="H14" s="26"/>
      <c r="J14" s="13"/>
      <c r="M14" s="4" t="s">
        <v>44</v>
      </c>
      <c r="N14" s="13">
        <f>N8*1.1</f>
        <v>115500.00000000001</v>
      </c>
      <c r="O14" s="10">
        <v>1</v>
      </c>
      <c r="P14" s="13">
        <f>N14*O14</f>
        <v>115500.00000000001</v>
      </c>
    </row>
    <row r="15" spans="1:18">
      <c r="A15" s="12" t="s">
        <v>20</v>
      </c>
      <c r="B15" s="9"/>
      <c r="G15" s="12" t="s">
        <v>20</v>
      </c>
      <c r="H15" s="9"/>
      <c r="M15" s="12" t="s">
        <v>6</v>
      </c>
      <c r="N15" s="26"/>
      <c r="P15" s="13">
        <f>SUM(P12:P14)</f>
        <v>1039746.4000000001</v>
      </c>
    </row>
    <row r="16" spans="1:18">
      <c r="A16" s="4" t="s">
        <v>8</v>
      </c>
      <c r="B16" s="9">
        <f>B11*1.25</f>
        <v>2241.2500000000005</v>
      </c>
      <c r="C16" s="10">
        <f>C11</f>
        <v>484</v>
      </c>
      <c r="D16" s="13">
        <f>B16*C16</f>
        <v>1084765.0000000002</v>
      </c>
      <c r="E16" s="45">
        <f>(B16-B11)/B11</f>
        <v>0.25000000000000011</v>
      </c>
      <c r="G16" s="4" t="s">
        <v>8</v>
      </c>
      <c r="H16" s="9">
        <f>H11*1.05</f>
        <v>1945.9125000000001</v>
      </c>
      <c r="I16" s="10">
        <f>I11</f>
        <v>484</v>
      </c>
      <c r="J16" s="13">
        <f>H16*I16</f>
        <v>941821.65</v>
      </c>
      <c r="K16" s="45">
        <f>(H16-H11)/H11</f>
        <v>5.0000000000000072E-2</v>
      </c>
      <c r="M16" s="12"/>
      <c r="N16" s="26"/>
      <c r="P16" s="13"/>
    </row>
    <row r="17" spans="1:18">
      <c r="A17" s="4" t="s">
        <v>9</v>
      </c>
      <c r="B17" s="9">
        <f>0.12*D16</f>
        <v>130171.80000000002</v>
      </c>
      <c r="C17" s="10">
        <v>1</v>
      </c>
      <c r="D17" s="13">
        <f>B17*C17</f>
        <v>130171.80000000002</v>
      </c>
      <c r="E17" s="47"/>
      <c r="F17" s="47"/>
      <c r="G17" s="4" t="s">
        <v>9</v>
      </c>
      <c r="H17" s="9">
        <f>0.12*J16</f>
        <v>113018.598</v>
      </c>
      <c r="I17" s="10">
        <v>1</v>
      </c>
      <c r="J17" s="13">
        <f>H17*I17</f>
        <v>113018.598</v>
      </c>
      <c r="M17" s="12" t="s">
        <v>20</v>
      </c>
      <c r="N17" s="9"/>
    </row>
    <row r="18" spans="1:18">
      <c r="A18" s="12" t="s">
        <v>6</v>
      </c>
      <c r="D18" s="13">
        <f>SUM(D16:D17)</f>
        <v>1214936.8000000003</v>
      </c>
      <c r="E18" s="45"/>
      <c r="F18" s="45"/>
      <c r="G18" s="12" t="s">
        <v>6</v>
      </c>
      <c r="J18" s="13">
        <f>SUM(J16:J17)</f>
        <v>1054840.2480000001</v>
      </c>
      <c r="K18" s="45"/>
      <c r="L18" s="45"/>
      <c r="M18" s="4" t="s">
        <v>8</v>
      </c>
      <c r="N18" s="13">
        <f>N12*1.25</f>
        <v>2131.2500000000005</v>
      </c>
      <c r="O18" s="10">
        <f>O12</f>
        <v>484</v>
      </c>
      <c r="P18" s="13">
        <f>N18*O18</f>
        <v>1031525.0000000002</v>
      </c>
      <c r="Q18" s="45">
        <f>(N18-N12)/N12</f>
        <v>0.25000000000000011</v>
      </c>
    </row>
    <row r="19" spans="1:18">
      <c r="A19" s="12"/>
      <c r="D19" s="13"/>
      <c r="G19" s="12"/>
      <c r="J19" s="13"/>
      <c r="M19" s="4" t="s">
        <v>9</v>
      </c>
      <c r="N19" s="9">
        <f>0.12*P18</f>
        <v>123783.00000000003</v>
      </c>
      <c r="O19" s="10">
        <v>1</v>
      </c>
      <c r="P19" s="13">
        <f>N19*O19</f>
        <v>123783.00000000003</v>
      </c>
    </row>
    <row r="20" spans="1:18">
      <c r="A20" s="12" t="s">
        <v>6</v>
      </c>
      <c r="B20" s="9"/>
      <c r="C20" s="17"/>
      <c r="D20" s="4">
        <f>SUM(D18+D13+D8)</f>
        <v>3176573.3400000003</v>
      </c>
      <c r="G20" s="12" t="s">
        <v>6</v>
      </c>
      <c r="H20" s="9"/>
      <c r="I20" s="17"/>
      <c r="J20" s="4">
        <f>SUM(J18+J13+J8)</f>
        <v>3131105.0580000002</v>
      </c>
      <c r="M20" s="4" t="s">
        <v>44</v>
      </c>
      <c r="N20" s="13">
        <f>N14*1.25</f>
        <v>144375.00000000003</v>
      </c>
      <c r="O20" s="10">
        <v>1</v>
      </c>
      <c r="P20" s="13">
        <f>N20*O20</f>
        <v>144375.00000000003</v>
      </c>
    </row>
    <row r="21" spans="1:18">
      <c r="M21" s="12" t="s">
        <v>6</v>
      </c>
      <c r="P21" s="13">
        <f>SUM(P18:P20)</f>
        <v>1299683.0000000002</v>
      </c>
    </row>
    <row r="22" spans="1:18">
      <c r="D22" s="11"/>
      <c r="G22" s="12"/>
      <c r="J22" s="13"/>
    </row>
    <row r="23" spans="1:18">
      <c r="G23" s="12"/>
      <c r="J23" s="13"/>
      <c r="M23" s="12" t="s">
        <v>6</v>
      </c>
      <c r="P23" s="15">
        <f>SUM(P9+P15+P21)</f>
        <v>3385542.9000000004</v>
      </c>
    </row>
    <row r="24" spans="1:18">
      <c r="D24" s="11"/>
      <c r="G24" s="12"/>
      <c r="J24" s="13"/>
    </row>
    <row r="25" spans="1:18">
      <c r="G25" s="12"/>
      <c r="J25" s="13"/>
      <c r="M25" s="49" t="s">
        <v>51</v>
      </c>
      <c r="P25" s="26">
        <v>52500</v>
      </c>
      <c r="R25" s="15"/>
    </row>
    <row r="26" spans="1:18">
      <c r="G26" s="12"/>
      <c r="J26" s="13"/>
    </row>
    <row r="27" spans="1:18">
      <c r="A27" s="2" t="s">
        <v>47</v>
      </c>
      <c r="G27" s="2" t="s">
        <v>49</v>
      </c>
      <c r="M27" s="2" t="s">
        <v>50</v>
      </c>
    </row>
    <row r="28" spans="1:18">
      <c r="A28" s="6" t="s">
        <v>13</v>
      </c>
      <c r="G28" s="6" t="s">
        <v>13</v>
      </c>
      <c r="M28" s="6" t="s">
        <v>13</v>
      </c>
    </row>
    <row r="29" spans="1:18">
      <c r="A29" s="39" t="s">
        <v>14</v>
      </c>
      <c r="G29" s="39" t="s">
        <v>14</v>
      </c>
      <c r="M29" s="39" t="s">
        <v>14</v>
      </c>
    </row>
    <row r="30" spans="1:18">
      <c r="A30" s="8"/>
      <c r="B30" s="7" t="s">
        <v>4</v>
      </c>
      <c r="C30" s="7" t="s">
        <v>5</v>
      </c>
      <c r="D30" s="7" t="s">
        <v>6</v>
      </c>
      <c r="E30" s="7" t="s">
        <v>52</v>
      </c>
      <c r="G30" s="8"/>
      <c r="H30" s="7" t="s">
        <v>4</v>
      </c>
      <c r="I30" s="7" t="s">
        <v>5</v>
      </c>
      <c r="J30" s="7" t="s">
        <v>6</v>
      </c>
      <c r="K30" s="7" t="s">
        <v>52</v>
      </c>
      <c r="M30" s="8"/>
      <c r="N30" s="7" t="s">
        <v>4</v>
      </c>
      <c r="O30" s="7" t="s">
        <v>5</v>
      </c>
      <c r="P30" s="7" t="s">
        <v>6</v>
      </c>
      <c r="Q30" s="7" t="s">
        <v>52</v>
      </c>
    </row>
    <row r="31" spans="1:18">
      <c r="A31" s="12" t="s">
        <v>7</v>
      </c>
      <c r="B31" s="4"/>
      <c r="G31" s="12" t="s">
        <v>7</v>
      </c>
      <c r="H31" s="4"/>
      <c r="M31" s="12" t="s">
        <v>7</v>
      </c>
      <c r="N31" s="4"/>
    </row>
    <row r="32" spans="1:18">
      <c r="A32" s="4" t="s">
        <v>8</v>
      </c>
      <c r="B32" s="13">
        <v>1573</v>
      </c>
      <c r="C32" s="10">
        <v>547</v>
      </c>
      <c r="D32" s="13">
        <f>B32*C32</f>
        <v>860431</v>
      </c>
      <c r="E32" s="51">
        <f>(D32-'Regional Contract w Douglas'!D9)/'Regional Contract w Douglas'!D9</f>
        <v>0.13442903135038059</v>
      </c>
      <c r="G32" s="4" t="s">
        <v>8</v>
      </c>
      <c r="H32" s="13">
        <v>1630</v>
      </c>
      <c r="I32" s="10">
        <v>547</v>
      </c>
      <c r="J32" s="13">
        <f>H32*I32</f>
        <v>891610</v>
      </c>
      <c r="K32" s="51">
        <v>0.17599999999999999</v>
      </c>
      <c r="L32" s="45"/>
      <c r="M32" s="4" t="s">
        <v>8</v>
      </c>
      <c r="N32" s="13">
        <v>1502</v>
      </c>
      <c r="O32" s="10">
        <v>547</v>
      </c>
      <c r="P32" s="13">
        <f>N32*O32</f>
        <v>821594</v>
      </c>
      <c r="Q32" s="51">
        <f>(P32-'Regional Contract w Douglas'!D9)/'Regional Contract w Douglas'!D9</f>
        <v>8.3224669477604346E-2</v>
      </c>
    </row>
    <row r="33" spans="1:17">
      <c r="A33" s="4" t="s">
        <v>9</v>
      </c>
      <c r="B33" s="9">
        <f>D32*0.11</f>
        <v>94647.41</v>
      </c>
      <c r="C33" s="10">
        <v>1</v>
      </c>
      <c r="D33" s="13">
        <f>B33*C33</f>
        <v>94647.41</v>
      </c>
      <c r="G33" s="4" t="s">
        <v>9</v>
      </c>
      <c r="H33" s="9">
        <f>J32*0.11</f>
        <v>98077.1</v>
      </c>
      <c r="I33" s="10">
        <v>1</v>
      </c>
      <c r="J33" s="13">
        <f>H33*I33</f>
        <v>98077.1</v>
      </c>
      <c r="M33" s="4" t="s">
        <v>9</v>
      </c>
      <c r="N33" s="9">
        <f>P32*0.11</f>
        <v>90375.34</v>
      </c>
      <c r="O33" s="10">
        <v>1</v>
      </c>
      <c r="P33" s="13">
        <f>N33*O33</f>
        <v>90375.34</v>
      </c>
    </row>
    <row r="34" spans="1:17">
      <c r="A34" s="12" t="s">
        <v>6</v>
      </c>
      <c r="B34" s="26"/>
      <c r="D34" s="13">
        <f>SUM(D32:D33)</f>
        <v>955078.41</v>
      </c>
      <c r="G34" s="12" t="s">
        <v>6</v>
      </c>
      <c r="H34" s="26"/>
      <c r="J34" s="13">
        <f>SUM(J32:J33)</f>
        <v>989687.1</v>
      </c>
      <c r="M34" s="4" t="s">
        <v>44</v>
      </c>
      <c r="N34" s="9">
        <v>98700</v>
      </c>
      <c r="O34" s="10">
        <v>1</v>
      </c>
      <c r="P34" s="13">
        <f>N34*O34</f>
        <v>98700</v>
      </c>
    </row>
    <row r="35" spans="1:17">
      <c r="A35" s="10"/>
      <c r="B35" s="26"/>
      <c r="D35" s="13"/>
      <c r="G35" s="10"/>
      <c r="H35" s="26"/>
      <c r="J35" s="13"/>
      <c r="L35" s="47"/>
      <c r="M35" s="12" t="s">
        <v>6</v>
      </c>
      <c r="N35" s="26"/>
      <c r="P35" s="13">
        <f>SUM(P32:P34)</f>
        <v>1010669.34</v>
      </c>
    </row>
    <row r="36" spans="1:17">
      <c r="A36" s="12" t="s">
        <v>19</v>
      </c>
      <c r="B36" s="9"/>
      <c r="D36" s="15"/>
      <c r="G36" s="12" t="s">
        <v>19</v>
      </c>
      <c r="H36" s="9"/>
      <c r="J36" s="15"/>
      <c r="M36" s="10"/>
      <c r="N36" s="26"/>
      <c r="P36" s="13"/>
    </row>
    <row r="37" spans="1:17">
      <c r="A37" s="4" t="s">
        <v>8</v>
      </c>
      <c r="B37" s="9">
        <f>B32*1.1</f>
        <v>1730.3000000000002</v>
      </c>
      <c r="C37" s="10">
        <v>484</v>
      </c>
      <c r="D37" s="13">
        <f>B37*C37</f>
        <v>837465.20000000007</v>
      </c>
      <c r="E37" s="45">
        <f>(B37-B32)/B32</f>
        <v>0.10000000000000012</v>
      </c>
      <c r="F37" s="48"/>
      <c r="G37" s="4" t="s">
        <v>8</v>
      </c>
      <c r="H37" s="13">
        <f>H32*1.05</f>
        <v>1711.5</v>
      </c>
      <c r="I37" s="10">
        <v>484</v>
      </c>
      <c r="J37" s="13">
        <f>H37*I37</f>
        <v>828366</v>
      </c>
      <c r="K37" s="45">
        <f>(H37-H32)/H32</f>
        <v>0.05</v>
      </c>
      <c r="M37" s="12" t="s">
        <v>19</v>
      </c>
      <c r="N37" s="9"/>
      <c r="P37" s="15"/>
    </row>
    <row r="38" spans="1:17">
      <c r="A38" s="4" t="s">
        <v>9</v>
      </c>
      <c r="B38" s="9">
        <f>D37*0.12</f>
        <v>100495.82400000001</v>
      </c>
      <c r="C38" s="10">
        <v>1</v>
      </c>
      <c r="D38" s="13">
        <f>B38*C38</f>
        <v>100495.82400000001</v>
      </c>
      <c r="G38" s="4" t="s">
        <v>9</v>
      </c>
      <c r="H38" s="9">
        <f>J37*0.12</f>
        <v>99403.92</v>
      </c>
      <c r="I38" s="10">
        <v>1</v>
      </c>
      <c r="J38" s="13">
        <f>H38*I38</f>
        <v>99403.92</v>
      </c>
      <c r="M38" s="4" t="s">
        <v>8</v>
      </c>
      <c r="N38" s="9">
        <f>N32*1.1</f>
        <v>1652.2</v>
      </c>
      <c r="O38" s="10">
        <v>484</v>
      </c>
      <c r="P38" s="13">
        <f>N38*O38</f>
        <v>799664.8</v>
      </c>
      <c r="Q38" s="45">
        <f>(N38-N32)/N32</f>
        <v>0.10000000000000003</v>
      </c>
    </row>
    <row r="39" spans="1:17">
      <c r="A39" s="12" t="s">
        <v>6</v>
      </c>
      <c r="B39" s="26"/>
      <c r="D39" s="13">
        <f>SUM(D37:D38)</f>
        <v>937961.02400000009</v>
      </c>
      <c r="G39" s="12" t="s">
        <v>6</v>
      </c>
      <c r="H39" s="26"/>
      <c r="J39" s="13">
        <f>SUM(J37:J38)</f>
        <v>927769.92</v>
      </c>
      <c r="M39" s="4" t="s">
        <v>9</v>
      </c>
      <c r="N39" s="9">
        <f>P38*0.12</f>
        <v>95959.775999999998</v>
      </c>
      <c r="O39" s="10">
        <v>1</v>
      </c>
      <c r="P39" s="13">
        <f>N39*O39</f>
        <v>95959.775999999998</v>
      </c>
      <c r="Q39" s="45"/>
    </row>
    <row r="40" spans="1:17">
      <c r="A40" s="12"/>
      <c r="B40" s="26"/>
      <c r="D40" s="13"/>
      <c r="G40" s="12"/>
      <c r="H40" s="26"/>
      <c r="J40" s="13"/>
      <c r="M40" s="4" t="s">
        <v>44</v>
      </c>
      <c r="N40" s="9">
        <f>N34*1.1</f>
        <v>108570.00000000001</v>
      </c>
      <c r="O40" s="10">
        <v>1</v>
      </c>
      <c r="P40" s="13">
        <f>N40*O40</f>
        <v>108570.00000000001</v>
      </c>
      <c r="Q40" s="45"/>
    </row>
    <row r="41" spans="1:17">
      <c r="A41" s="12" t="s">
        <v>20</v>
      </c>
      <c r="B41" s="9"/>
      <c r="G41" s="12" t="s">
        <v>20</v>
      </c>
      <c r="H41" s="9"/>
      <c r="M41" s="12" t="s">
        <v>6</v>
      </c>
      <c r="N41" s="26"/>
      <c r="P41" s="13">
        <f>SUM(P38:P40)</f>
        <v>1004194.576</v>
      </c>
      <c r="Q41" s="45"/>
    </row>
    <row r="42" spans="1:17">
      <c r="A42" s="4" t="s">
        <v>8</v>
      </c>
      <c r="B42" s="9">
        <f>B37*1.15</f>
        <v>1989.845</v>
      </c>
      <c r="C42" s="10">
        <f>C37</f>
        <v>484</v>
      </c>
      <c r="D42" s="13">
        <f>B42*C42</f>
        <v>963084.98</v>
      </c>
      <c r="E42" s="45">
        <f>(B42-B37)/B37</f>
        <v>0.14999999999999988</v>
      </c>
      <c r="G42" s="4" t="s">
        <v>8</v>
      </c>
      <c r="H42" s="9">
        <f>H37*1.05</f>
        <v>1797.075</v>
      </c>
      <c r="I42" s="10">
        <f>I37</f>
        <v>484</v>
      </c>
      <c r="J42" s="13">
        <f>H42*I42</f>
        <v>869784.3</v>
      </c>
      <c r="K42" s="45">
        <f>(H42-H37)/H37</f>
        <v>5.0000000000000024E-2</v>
      </c>
      <c r="M42" s="12"/>
      <c r="N42" s="26"/>
      <c r="P42" s="13"/>
      <c r="Q42" s="45"/>
    </row>
    <row r="43" spans="1:17">
      <c r="A43" s="4" t="s">
        <v>9</v>
      </c>
      <c r="B43" s="9">
        <f>0.12*D42</f>
        <v>115570.1976</v>
      </c>
      <c r="C43" s="10">
        <v>1</v>
      </c>
      <c r="D43" s="13">
        <f>B43*C43</f>
        <v>115570.1976</v>
      </c>
      <c r="E43" s="48"/>
      <c r="F43" s="48"/>
      <c r="G43" s="4" t="s">
        <v>9</v>
      </c>
      <c r="H43" s="9">
        <f>0.12*J42</f>
        <v>104374.11599999999</v>
      </c>
      <c r="I43" s="10">
        <v>1</v>
      </c>
      <c r="J43" s="13">
        <f>H43*I43</f>
        <v>104374.11599999999</v>
      </c>
      <c r="M43" s="12" t="s">
        <v>20</v>
      </c>
      <c r="N43" s="9"/>
      <c r="Q43" s="45"/>
    </row>
    <row r="44" spans="1:17">
      <c r="A44" s="12" t="s">
        <v>6</v>
      </c>
      <c r="B44" s="26"/>
      <c r="D44" s="13">
        <f>SUM(D42:D43)</f>
        <v>1078655.1776000001</v>
      </c>
      <c r="G44" s="12" t="s">
        <v>6</v>
      </c>
      <c r="H44" s="26"/>
      <c r="J44" s="13">
        <f>SUM(J42:J43)</f>
        <v>974158.41600000008</v>
      </c>
      <c r="M44" s="4" t="s">
        <v>8</v>
      </c>
      <c r="N44" s="9">
        <f>N38*1.15</f>
        <v>1900.03</v>
      </c>
      <c r="O44" s="10">
        <f>O38</f>
        <v>484</v>
      </c>
      <c r="P44" s="13">
        <f>N44*O44</f>
        <v>919614.52</v>
      </c>
      <c r="Q44" s="45">
        <f>(N44-N38)/N38</f>
        <v>0.14999999999999994</v>
      </c>
    </row>
    <row r="45" spans="1:17">
      <c r="A45" s="12"/>
      <c r="B45" s="26"/>
      <c r="D45" s="13"/>
      <c r="G45" s="12"/>
      <c r="H45" s="26"/>
      <c r="J45" s="13"/>
      <c r="M45" s="4" t="s">
        <v>9</v>
      </c>
      <c r="N45" s="9">
        <f>0.12*P44</f>
        <v>110353.7424</v>
      </c>
      <c r="O45" s="10">
        <v>1</v>
      </c>
      <c r="P45" s="13">
        <f>N45*O45</f>
        <v>110353.7424</v>
      </c>
      <c r="Q45" s="45"/>
    </row>
    <row r="46" spans="1:17">
      <c r="A46" s="12" t="s">
        <v>21</v>
      </c>
      <c r="B46" s="9"/>
      <c r="D46" s="15"/>
      <c r="G46" s="12" t="s">
        <v>21</v>
      </c>
      <c r="H46" s="9"/>
      <c r="J46" s="15"/>
      <c r="M46" s="4" t="s">
        <v>44</v>
      </c>
      <c r="N46" s="9">
        <f>N40*1.15</f>
        <v>124855.5</v>
      </c>
      <c r="O46" s="10">
        <v>1</v>
      </c>
      <c r="P46" s="13">
        <f>N46*O46</f>
        <v>124855.5</v>
      </c>
      <c r="Q46" s="45"/>
    </row>
    <row r="47" spans="1:17">
      <c r="A47" s="4" t="s">
        <v>8</v>
      </c>
      <c r="B47" s="9">
        <f>B42*1.05</f>
        <v>2089.33725</v>
      </c>
      <c r="C47" s="10">
        <v>484</v>
      </c>
      <c r="D47" s="13">
        <f>B47*C47</f>
        <v>1011239.2290000001</v>
      </c>
      <c r="E47" s="45">
        <f>(B47-B42)/B42</f>
        <v>0.05</v>
      </c>
      <c r="G47" s="4" t="s">
        <v>8</v>
      </c>
      <c r="H47" s="9">
        <f>H42*1.05</f>
        <v>1886.92875</v>
      </c>
      <c r="I47" s="10">
        <v>484</v>
      </c>
      <c r="J47" s="13">
        <f>H47*I47</f>
        <v>913273.51500000001</v>
      </c>
      <c r="K47" s="45">
        <f>(H47-H42)/H42</f>
        <v>4.9999999999999996E-2</v>
      </c>
      <c r="M47" s="12" t="s">
        <v>6</v>
      </c>
      <c r="N47" s="26"/>
      <c r="P47" s="13">
        <f>SUM(P44:P46)</f>
        <v>1154823.7623999999</v>
      </c>
      <c r="Q47" s="45"/>
    </row>
    <row r="48" spans="1:17">
      <c r="A48" s="4" t="s">
        <v>9</v>
      </c>
      <c r="B48" s="9">
        <f>D47*0.12</f>
        <v>121348.70748</v>
      </c>
      <c r="C48" s="10">
        <v>1</v>
      </c>
      <c r="D48" s="13">
        <f>B48*C48</f>
        <v>121348.70748</v>
      </c>
      <c r="G48" s="4" t="s">
        <v>9</v>
      </c>
      <c r="H48" s="9">
        <f>J47*0.12</f>
        <v>109592.82179999999</v>
      </c>
      <c r="I48" s="10">
        <v>1</v>
      </c>
      <c r="J48" s="13">
        <f>H48*I48</f>
        <v>109592.82179999999</v>
      </c>
      <c r="M48" s="12"/>
      <c r="N48" s="26"/>
      <c r="P48" s="13"/>
      <c r="Q48" s="45"/>
    </row>
    <row r="49" spans="1:17">
      <c r="A49" s="12" t="s">
        <v>6</v>
      </c>
      <c r="B49" s="26"/>
      <c r="D49" s="13">
        <f>SUM(D47:D48)</f>
        <v>1132587.9364800001</v>
      </c>
      <c r="G49" s="12" t="s">
        <v>6</v>
      </c>
      <c r="H49" s="26"/>
      <c r="J49" s="13">
        <f>SUM(J47:J48)</f>
        <v>1022866.3368</v>
      </c>
      <c r="M49" s="12" t="s">
        <v>21</v>
      </c>
      <c r="N49" s="9"/>
      <c r="P49" s="15"/>
      <c r="Q49" s="45"/>
    </row>
    <row r="50" spans="1:17">
      <c r="A50" s="12"/>
      <c r="B50" s="26"/>
      <c r="D50" s="13"/>
      <c r="G50" s="12"/>
      <c r="H50" s="26"/>
      <c r="J50" s="13"/>
      <c r="M50" s="4" t="s">
        <v>8</v>
      </c>
      <c r="N50" s="9">
        <f>N44*1.05</f>
        <v>1995.0315000000001</v>
      </c>
      <c r="O50" s="10">
        <v>484</v>
      </c>
      <c r="P50" s="13">
        <f>N50*O50</f>
        <v>965595.24600000004</v>
      </c>
      <c r="Q50" s="45">
        <f>(N50-N44)/N44</f>
        <v>5.0000000000000044E-2</v>
      </c>
    </row>
    <row r="51" spans="1:17">
      <c r="A51" s="12" t="s">
        <v>22</v>
      </c>
      <c r="B51" s="9"/>
      <c r="G51" s="12" t="s">
        <v>22</v>
      </c>
      <c r="H51" s="9"/>
      <c r="M51" s="4" t="s">
        <v>9</v>
      </c>
      <c r="N51" s="9">
        <f>P50*0.12</f>
        <v>115871.42952000001</v>
      </c>
      <c r="O51" s="10">
        <v>1</v>
      </c>
      <c r="P51" s="13">
        <f>N51*O51</f>
        <v>115871.42952000001</v>
      </c>
      <c r="Q51" s="45"/>
    </row>
    <row r="52" spans="1:17">
      <c r="A52" s="4" t="s">
        <v>8</v>
      </c>
      <c r="B52" s="9">
        <f>B47*1.05</f>
        <v>2193.8041125</v>
      </c>
      <c r="C52" s="10">
        <f>C47</f>
        <v>484</v>
      </c>
      <c r="D52" s="13">
        <f>B52*C52</f>
        <v>1061801.1904499999</v>
      </c>
      <c r="E52" s="45">
        <f>(B52-B47)/B47</f>
        <v>4.9999999999999968E-2</v>
      </c>
      <c r="G52" s="4" t="s">
        <v>8</v>
      </c>
      <c r="H52" s="9">
        <f>H47*1.05</f>
        <v>1981.2751875000001</v>
      </c>
      <c r="I52" s="10">
        <f>I47</f>
        <v>484</v>
      </c>
      <c r="J52" s="13">
        <f>H52*I52</f>
        <v>958937.19075000007</v>
      </c>
      <c r="K52" s="45">
        <f>(H52-H47)/H47</f>
        <v>5.0000000000000051E-2</v>
      </c>
      <c r="M52" s="4" t="s">
        <v>44</v>
      </c>
      <c r="N52" s="9">
        <f>N46*1.05</f>
        <v>131098.27499999999</v>
      </c>
      <c r="O52" s="10">
        <v>1</v>
      </c>
      <c r="P52" s="13">
        <f>N52*O52</f>
        <v>131098.27499999999</v>
      </c>
      <c r="Q52" s="45"/>
    </row>
    <row r="53" spans="1:17">
      <c r="A53" s="4" t="s">
        <v>9</v>
      </c>
      <c r="B53" s="9">
        <f>0.12*D52</f>
        <v>127416.14285399998</v>
      </c>
      <c r="C53" s="10">
        <v>1</v>
      </c>
      <c r="D53" s="13">
        <f>B53*C53</f>
        <v>127416.14285399998</v>
      </c>
      <c r="G53" s="4" t="s">
        <v>9</v>
      </c>
      <c r="H53" s="9">
        <f>0.12*J52</f>
        <v>115072.46289000001</v>
      </c>
      <c r="I53" s="10">
        <v>1</v>
      </c>
      <c r="J53" s="13">
        <f>H53*I53</f>
        <v>115072.46289000001</v>
      </c>
      <c r="M53" s="12" t="s">
        <v>6</v>
      </c>
      <c r="N53" s="26"/>
      <c r="P53" s="13">
        <f>SUM(P50:P52)</f>
        <v>1212564.95052</v>
      </c>
      <c r="Q53" s="45"/>
    </row>
    <row r="54" spans="1:17">
      <c r="A54" s="12" t="s">
        <v>6</v>
      </c>
      <c r="D54" s="13">
        <f>SUM(D52:D53)</f>
        <v>1189217.3333039999</v>
      </c>
      <c r="G54" s="12" t="s">
        <v>6</v>
      </c>
      <c r="J54" s="13">
        <f>SUM(J52:J53)</f>
        <v>1074009.6536400001</v>
      </c>
      <c r="M54" s="12"/>
      <c r="N54" s="26"/>
      <c r="P54" s="13"/>
      <c r="Q54" s="45"/>
    </row>
    <row r="55" spans="1:17">
      <c r="M55" s="12" t="s">
        <v>22</v>
      </c>
      <c r="N55" s="9"/>
      <c r="Q55" s="45"/>
    </row>
    <row r="56" spans="1:17">
      <c r="A56" s="49" t="s">
        <v>6</v>
      </c>
      <c r="D56" s="15">
        <f>SUM(D54+D49+D44+D39+D34)</f>
        <v>5293499.8813840002</v>
      </c>
      <c r="G56" s="49" t="s">
        <v>6</v>
      </c>
      <c r="J56" s="15">
        <f>SUM(J54+J49+J44+J39+J34)</f>
        <v>4988491.4264400005</v>
      </c>
      <c r="M56" s="4" t="s">
        <v>8</v>
      </c>
      <c r="N56" s="9">
        <f>N50*1.05</f>
        <v>2094.7830750000003</v>
      </c>
      <c r="O56" s="10">
        <f>O50</f>
        <v>484</v>
      </c>
      <c r="P56" s="13">
        <f>N56*O56</f>
        <v>1013875.0083000001</v>
      </c>
      <c r="Q56" s="45">
        <f>(N56-N50)/N50</f>
        <v>5.0000000000000114E-2</v>
      </c>
    </row>
    <row r="57" spans="1:17">
      <c r="M57" s="4" t="s">
        <v>9</v>
      </c>
      <c r="N57" s="9">
        <f>0.12*P56</f>
        <v>121665.000996</v>
      </c>
      <c r="O57" s="10">
        <v>1</v>
      </c>
      <c r="P57" s="13">
        <f>N57*O57</f>
        <v>121665.000996</v>
      </c>
    </row>
    <row r="58" spans="1:17">
      <c r="J58" s="26"/>
      <c r="M58" s="4" t="s">
        <v>44</v>
      </c>
      <c r="N58" s="9">
        <f>N52*1.15</f>
        <v>150763.01624999999</v>
      </c>
      <c r="O58" s="10">
        <v>1</v>
      </c>
      <c r="P58" s="13">
        <f>N58*O58</f>
        <v>150763.01624999999</v>
      </c>
    </row>
    <row r="59" spans="1:17">
      <c r="G59" s="26"/>
      <c r="J59" s="26"/>
      <c r="M59" s="12" t="s">
        <v>6</v>
      </c>
      <c r="P59" s="13">
        <f>SUM(P56:P58)</f>
        <v>1286303.0255459999</v>
      </c>
    </row>
    <row r="60" spans="1:17">
      <c r="J60" s="26"/>
    </row>
    <row r="61" spans="1:17">
      <c r="M61" s="12" t="s">
        <v>6</v>
      </c>
      <c r="P61" s="15">
        <f>SUM(P59+P53+P47+P41+P35)</f>
        <v>5668555.6544659995</v>
      </c>
    </row>
    <row r="62" spans="1:17">
      <c r="G62" s="26"/>
    </row>
    <row r="63" spans="1:17">
      <c r="M63" s="49" t="s">
        <v>51</v>
      </c>
      <c r="P63" s="50">
        <v>52500</v>
      </c>
    </row>
    <row r="68" spans="1:2">
      <c r="A68" t="s">
        <v>53</v>
      </c>
      <c r="B68" s="43" t="s">
        <v>35</v>
      </c>
    </row>
    <row r="69" spans="1:2">
      <c r="A69" t="s">
        <v>53</v>
      </c>
      <c r="B69" s="43" t="s">
        <v>36</v>
      </c>
    </row>
    <row r="70" spans="1:2">
      <c r="A70" t="s">
        <v>54</v>
      </c>
      <c r="B70" s="43" t="s">
        <v>37</v>
      </c>
    </row>
    <row r="71" spans="1:2">
      <c r="A71" t="s">
        <v>56</v>
      </c>
      <c r="B71" s="44" t="s">
        <v>38</v>
      </c>
    </row>
    <row r="72" spans="1:2">
      <c r="A72" t="s">
        <v>55</v>
      </c>
      <c r="B72" s="43" t="s">
        <v>39</v>
      </c>
    </row>
    <row r="73" spans="1:2">
      <c r="A73" t="s">
        <v>53</v>
      </c>
      <c r="B73" s="43" t="s">
        <v>40</v>
      </c>
    </row>
    <row r="74" spans="1:2">
      <c r="A74" t="s">
        <v>57</v>
      </c>
      <c r="B74" s="43" t="s">
        <v>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3DD26-2707-4097-9B30-7BE71FB1B344}">
  <dimension ref="A1:J4"/>
  <sheetViews>
    <sheetView workbookViewId="0">
      <selection activeCell="F21" sqref="F21"/>
    </sheetView>
  </sheetViews>
  <sheetFormatPr defaultRowHeight="15.6"/>
  <cols>
    <col min="1" max="1" width="19" bestFit="1" customWidth="1"/>
    <col min="2" max="2" width="19" customWidth="1"/>
    <col min="3" max="3" width="13.09765625" bestFit="1" customWidth="1"/>
    <col min="4" max="4" width="11.69921875" bestFit="1" customWidth="1"/>
    <col min="5" max="5" width="28.69921875" bestFit="1" customWidth="1"/>
    <col min="6" max="6" width="13.09765625" bestFit="1" customWidth="1"/>
    <col min="7" max="7" width="11.69921875" bestFit="1" customWidth="1"/>
    <col min="8" max="8" width="28.69921875" bestFit="1" customWidth="1"/>
    <col min="9" max="9" width="16.69921875" bestFit="1" customWidth="1"/>
    <col min="10" max="10" width="19.3984375" bestFit="1" customWidth="1"/>
  </cols>
  <sheetData>
    <row r="1" spans="1:10">
      <c r="B1" s="52" t="s">
        <v>67</v>
      </c>
      <c r="C1" s="52" t="s">
        <v>61</v>
      </c>
      <c r="D1" s="52" t="s">
        <v>62</v>
      </c>
      <c r="E1" s="52" t="s">
        <v>63</v>
      </c>
      <c r="F1" s="52" t="s">
        <v>64</v>
      </c>
      <c r="G1" s="52" t="s">
        <v>65</v>
      </c>
      <c r="H1" s="52" t="s">
        <v>66</v>
      </c>
      <c r="I1" s="57" t="s">
        <v>68</v>
      </c>
      <c r="J1" s="57" t="s">
        <v>69</v>
      </c>
    </row>
    <row r="2" spans="1:10">
      <c r="A2" s="56" t="s">
        <v>58</v>
      </c>
      <c r="B2" s="53">
        <v>1267770.96</v>
      </c>
      <c r="C2" s="53">
        <v>3569080.1</v>
      </c>
      <c r="D2" s="53">
        <v>3569080.1</v>
      </c>
      <c r="E2" s="53">
        <v>3569080.1</v>
      </c>
      <c r="F2" s="53">
        <v>5811494.4591315202</v>
      </c>
      <c r="G2" s="53">
        <v>5811494.4591315202</v>
      </c>
      <c r="H2" s="53">
        <v>5811494.4591315202</v>
      </c>
      <c r="I2" s="54">
        <v>8409202.5696740635</v>
      </c>
      <c r="J2" s="54">
        <v>8072014.5568254618</v>
      </c>
    </row>
    <row r="3" spans="1:10">
      <c r="A3" s="56" t="s">
        <v>59</v>
      </c>
      <c r="B3" s="53">
        <v>1267770.96</v>
      </c>
      <c r="C3" s="53">
        <v>3176573.3400000003</v>
      </c>
      <c r="D3" s="53">
        <v>3131105.0580000002</v>
      </c>
      <c r="E3" s="54">
        <v>3385542.9000000004</v>
      </c>
      <c r="F3" s="54">
        <v>5293499.8813840002</v>
      </c>
      <c r="G3" s="54">
        <v>4988491.4264400005</v>
      </c>
      <c r="H3" s="54">
        <v>5668555.6544659995</v>
      </c>
      <c r="I3" s="54">
        <v>8409202.5696740635</v>
      </c>
      <c r="J3" s="54">
        <v>8072014.5568254618</v>
      </c>
    </row>
    <row r="4" spans="1:10">
      <c r="A4" s="56" t="s">
        <v>60</v>
      </c>
      <c r="B4" s="58">
        <f>SUM(B2-B3)</f>
        <v>0</v>
      </c>
      <c r="C4" s="55">
        <f>SUM(C2-C3)</f>
        <v>392506.75999999978</v>
      </c>
      <c r="D4" s="55">
        <f>SUM(D2-D3)</f>
        <v>437975.0419999999</v>
      </c>
      <c r="E4" s="55">
        <f>SUM(E2-E3-52500)</f>
        <v>131037.19999999972</v>
      </c>
      <c r="F4" s="55">
        <f>SUM(F2-F3)</f>
        <v>517994.57774752006</v>
      </c>
      <c r="G4" s="55">
        <f>SUM(G2-G3)</f>
        <v>823003.03269151971</v>
      </c>
      <c r="H4" s="55">
        <f>SUM(H2-H3-52500)</f>
        <v>90438.804665520787</v>
      </c>
      <c r="I4" s="54">
        <f>SUM(I2-I3)</f>
        <v>0</v>
      </c>
      <c r="J4" s="54">
        <f>SUM(J2-J3)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2A4E44411C284A901C1DF4352D563F" ma:contentTypeVersion="15" ma:contentTypeDescription="Create a new document." ma:contentTypeScope="" ma:versionID="58d83de00cdb0e53e63e0b0dfa4e55ce">
  <xsd:schema xmlns:xsd="http://www.w3.org/2001/XMLSchema" xmlns:xs="http://www.w3.org/2001/XMLSchema" xmlns:p="http://schemas.microsoft.com/office/2006/metadata/properties" xmlns:ns2="3832452e-6321-41c8-904b-24b2eaad5973" xmlns:ns3="bc3dc3c5-41ef-4dc8-b504-db9d40f66a26" targetNamespace="http://schemas.microsoft.com/office/2006/metadata/properties" ma:root="true" ma:fieldsID="31524a6f0b9d96c1d5ba583556e46a03" ns2:_="" ns3:_="">
    <xsd:import namespace="3832452e-6321-41c8-904b-24b2eaad5973"/>
    <xsd:import namespace="bc3dc3c5-41ef-4dc8-b504-db9d40f66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2452e-6321-41c8-904b-24b2eaad5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dc3c5-41ef-4dc8-b504-db9d40f66a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5a7e687-8fe3-4e76-8a05-f0bf1a72d403}" ma:internalName="TaxCatchAll" ma:showField="CatchAllData" ma:web="bc3dc3c5-41ef-4dc8-b504-db9d40f66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3dc3c5-41ef-4dc8-b504-db9d40f66a26" xsi:nil="true"/>
    <lcf76f155ced4ddcb4097134ff3c332f xmlns="3832452e-6321-41c8-904b-24b2eaad59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8DB9F5-375D-490B-A739-73C78BEE7654}"/>
</file>

<file path=customXml/itemProps2.xml><?xml version="1.0" encoding="utf-8"?>
<ds:datastoreItem xmlns:ds="http://schemas.openxmlformats.org/officeDocument/2006/customXml" ds:itemID="{729D534A-7C32-49BA-ADF3-323A8CEE8C27}"/>
</file>

<file path=customXml/itemProps3.xml><?xml version="1.0" encoding="utf-8"?>
<ds:datastoreItem xmlns:ds="http://schemas.openxmlformats.org/officeDocument/2006/customXml" ds:itemID="{DF08A97B-1C0C-46AF-8E7D-FE3F4EF3E0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User Counts</vt:lpstr>
      <vt:lpstr>Regional Contract w Douglas</vt:lpstr>
      <vt:lpstr>Regional wo Douglas</vt:lpstr>
      <vt:lpstr>Joint with Douglas Departure</vt:lpstr>
      <vt:lpstr>Accela Response</vt:lpstr>
      <vt:lpstr>Difference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Audrey Zuro</dc:creator>
  <cp:keywords/>
  <dc:description/>
  <cp:lastModifiedBy>Kamal, Sharmin</cp:lastModifiedBy>
  <cp:revision/>
  <dcterms:created xsi:type="dcterms:W3CDTF">2024-10-24T23:16:22Z</dcterms:created>
  <dcterms:modified xsi:type="dcterms:W3CDTF">2025-03-21T23:36:32Z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0x010100CA2A4E44411C284A901C1DF4352D563F</vt:lpwstr>
  </property>
</Properties>
</file>